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ink/ink2.xml" ContentType="application/inkml+xml"/>
  <Override PartName="/xl/ink/ink3.xml" ContentType="application/inkml+xml"/>
  <Override PartName="/xl/drawings/drawing3.xml" ContentType="application/vnd.openxmlformats-officedocument.drawing+xml"/>
  <Override PartName="/xl/ink/ink4.xml" ContentType="application/inkml+xml"/>
  <Override PartName="/xl/ink/ink5.xml" ContentType="application/inkml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สอ.พิบูล65\ยุทธศาสตร์63\13แผนการเงินการคลัง63\2.ไฟล์แผนการเงินการคลัง จาก รพ.สต. 2567\1.ข้อมูลสำหรับ ให้ รพ.สต. 2567\"/>
    </mc:Choice>
  </mc:AlternateContent>
  <xr:revisionPtr revIDLastSave="0" documentId="13_ncr:1_{96914FF9-1DF7-481F-ABE0-8B854BF4083F}" xr6:coauthVersionLast="47" xr6:coauthVersionMax="47" xr10:uidLastSave="{00000000-0000-0000-0000-000000000000}"/>
  <bookViews>
    <workbookView xWindow="-120" yWindow="-120" windowWidth="20730" windowHeight="11310" tabRatio="469" activeTab="1" xr2:uid="{00000000-000D-0000-FFFF-FFFF00000000}"/>
  </bookViews>
  <sheets>
    <sheet name="แบบบันทึกแม่ข่าย" sheetId="1" r:id="rId1"/>
    <sheet name="แบบบันทึกลูกข่าย" sheetId="8" r:id="rId2"/>
    <sheet name="รายการตรวจสอบ" sheetId="11" r:id="rId3"/>
    <sheet name="ประมาณการรายได้" sheetId="3" r:id="rId4"/>
    <sheet name="ประมาณการรายจ่าย" sheetId="4" r:id="rId5"/>
    <sheet name="BalancSheet" sheetId="2" r:id="rId6"/>
    <sheet name="FormPlanfin" sheetId="12" r:id="rId7"/>
    <sheet name="ตารางบริหารงบ" sheetId="13" r:id="rId8"/>
    <sheet name="กรอกเพิ่ม" sheetId="14" r:id="rId9"/>
    <sheet name="วิเคราะห์แผน" sheetId="15" r:id="rId10"/>
    <sheet name="แผนเงินบำรุง" sheetId="16" r:id="rId11"/>
  </sheets>
  <definedNames>
    <definedName name="_xlnm._FilterDatabase" localSheetId="6" hidden="1">FormPlanfin!$A$1:$D$608</definedName>
    <definedName name="_xlnm._FilterDatabase" localSheetId="0" hidden="1">แบบบันทึกแม่ข่าย!$A$1:$H$167</definedName>
    <definedName name="_xlnm._FilterDatabase" localSheetId="9" hidden="1">วิเคราะห์แผน!$Z$1:$Z$76</definedName>
    <definedName name="pree">#REF!</definedName>
    <definedName name="กกก" localSheetId="0">#REF!</definedName>
    <definedName name="กกก">#REF!</definedName>
    <definedName name="กกกก" localSheetId="0">#REF!</definedName>
    <definedName name="กกกก">#REF!</definedName>
    <definedName name="กกกกกก" localSheetId="0">#REF!</definedName>
    <definedName name="กกกกกก">#REF!</definedName>
    <definedName name="กกำ" localSheetId="0">#REF!</definedName>
    <definedName name="กกำ">#REF!</definedName>
    <definedName name="กพพ" localSheetId="0">#REF!</definedName>
    <definedName name="กพพ">#REF!</definedName>
    <definedName name="ถแ" localSheetId="0">#REF!</definedName>
    <definedName name="ถแ">#REF!</definedName>
    <definedName name="พพพ" localSheetId="0">#REF!</definedName>
    <definedName name="พพพ">#REF!</definedName>
    <definedName name="พภถะภถ" localSheetId="0">#REF!</definedName>
    <definedName name="พภถะภถ">#REF!</definedName>
    <definedName name="พ้ะพ" localSheetId="0">#REF!</definedName>
    <definedName name="พ้ะพ">#REF!</definedName>
    <definedName name="พำพ" localSheetId="0">#REF!</definedName>
    <definedName name="พำพ">#REF!</definedName>
    <definedName name="ฟ" localSheetId="0">#REF!</definedName>
    <definedName name="ฟ">#REF!</definedName>
    <definedName name="ฟฟ" localSheetId="0">#REF!</definedName>
    <definedName name="ฟฟ">#REF!</definedName>
    <definedName name="รา" localSheetId="0">#REF!</definedName>
    <definedName name="รา">#REF!</definedName>
    <definedName name="รายงานการข้ามเขตใน_CUP__ครั้ง_" localSheetId="0">#REF!</definedName>
    <definedName name="รายงานการข้ามเขตใน_CUP__ครั้ง_">#REF!</definedName>
    <definedName name="ววว" localSheetId="0">#REF!</definedName>
    <definedName name="วว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8" i="8" l="1"/>
  <c r="AL108" i="8"/>
  <c r="AK108" i="8"/>
  <c r="AH108" i="8"/>
  <c r="AG108" i="8"/>
  <c r="Z108" i="8"/>
  <c r="Y108" i="8"/>
  <c r="J108" i="8"/>
  <c r="I108" i="8"/>
  <c r="K108" i="8"/>
  <c r="L108" i="8"/>
  <c r="AN108" i="8"/>
  <c r="AM108" i="8"/>
  <c r="AF108" i="8"/>
  <c r="AE108" i="8"/>
  <c r="Q108" i="8"/>
  <c r="R108" i="8"/>
  <c r="X108" i="8"/>
  <c r="W108" i="8"/>
  <c r="BM108" i="8"/>
  <c r="BN108" i="8"/>
  <c r="V108" i="8"/>
  <c r="U108" i="8"/>
  <c r="H108" i="8"/>
  <c r="G108" i="8"/>
  <c r="AJ108" i="8"/>
  <c r="AI108" i="8"/>
  <c r="T108" i="8"/>
  <c r="S108" i="8"/>
  <c r="N108" i="8"/>
  <c r="M108" i="8"/>
  <c r="AD108" i="8"/>
  <c r="AC108" i="8"/>
  <c r="BP126" i="8"/>
  <c r="AL88" i="8"/>
  <c r="AH88" i="8"/>
  <c r="AH126" i="8"/>
  <c r="AC88" i="8"/>
  <c r="AD88" i="8"/>
  <c r="AB88" i="8"/>
  <c r="V88" i="8"/>
  <c r="Z88" i="8"/>
  <c r="BN161" i="8"/>
  <c r="BM161" i="8"/>
  <c r="BN158" i="8"/>
  <c r="BM158" i="8"/>
  <c r="BN154" i="8"/>
  <c r="BM154" i="8"/>
  <c r="BN150" i="8"/>
  <c r="BN149" i="8" s="1"/>
  <c r="BM150" i="8"/>
  <c r="BM149" i="8" s="1"/>
  <c r="BN144" i="8"/>
  <c r="BN18" i="8" s="1"/>
  <c r="BN17" i="8" s="1"/>
  <c r="BM144" i="8"/>
  <c r="BN142" i="8"/>
  <c r="BM142" i="8"/>
  <c r="BN130" i="8"/>
  <c r="BM130" i="8"/>
  <c r="BN125" i="8"/>
  <c r="BM125" i="8"/>
  <c r="BN119" i="8"/>
  <c r="BN116" i="8" s="1"/>
  <c r="BM119" i="8"/>
  <c r="BM116" i="8" s="1"/>
  <c r="BM104" i="8"/>
  <c r="BN103" i="8"/>
  <c r="BN101" i="8"/>
  <c r="BM101" i="8"/>
  <c r="BN100" i="8"/>
  <c r="BM100" i="8"/>
  <c r="BN99" i="8"/>
  <c r="BM99" i="8"/>
  <c r="BN97" i="8"/>
  <c r="BM97" i="8"/>
  <c r="BN96" i="8"/>
  <c r="BM96" i="8"/>
  <c r="BN95" i="8"/>
  <c r="BM95" i="8"/>
  <c r="BN94" i="8"/>
  <c r="BN88" i="8"/>
  <c r="BN87" i="8"/>
  <c r="BM87" i="8"/>
  <c r="BN85" i="8"/>
  <c r="BM85" i="8"/>
  <c r="BN83" i="8"/>
  <c r="BM83" i="8"/>
  <c r="BN80" i="8"/>
  <c r="BM80" i="8"/>
  <c r="BN77" i="8"/>
  <c r="BM77" i="8"/>
  <c r="BN74" i="8"/>
  <c r="BM74" i="8"/>
  <c r="BN71" i="8"/>
  <c r="BM71" i="8"/>
  <c r="BN68" i="8"/>
  <c r="BM68" i="8"/>
  <c r="BN65" i="8"/>
  <c r="BM65" i="8"/>
  <c r="BN62" i="8"/>
  <c r="BM62" i="8"/>
  <c r="BN59" i="8"/>
  <c r="BM59" i="8"/>
  <c r="BN56" i="8"/>
  <c r="BM56" i="8"/>
  <c r="BN52" i="8"/>
  <c r="BM52" i="8"/>
  <c r="BN48" i="8"/>
  <c r="BM48" i="8"/>
  <c r="BN40" i="8"/>
  <c r="BM40" i="8"/>
  <c r="BN37" i="8"/>
  <c r="BM37" i="8"/>
  <c r="BN29" i="8"/>
  <c r="BM29" i="8"/>
  <c r="BN22" i="8"/>
  <c r="BM22" i="8"/>
  <c r="BN20" i="8"/>
  <c r="BM20" i="8"/>
  <c r="BM17" i="8"/>
  <c r="BM6" i="8"/>
  <c r="BM94" i="8" s="1"/>
  <c r="BM5" i="8"/>
  <c r="BN5" i="8" s="1"/>
  <c r="N88" i="8"/>
  <c r="P88" i="8"/>
  <c r="BN58" i="8" l="1"/>
  <c r="BM16" i="8"/>
  <c r="BN16" i="8"/>
  <c r="BM93" i="8"/>
  <c r="BM92" i="8" s="1"/>
  <c r="BM58" i="8"/>
  <c r="BM115" i="8"/>
  <c r="BM113" i="8" s="1"/>
  <c r="BN115" i="8"/>
  <c r="BN113" i="8" s="1"/>
  <c r="BN93" i="8"/>
  <c r="BN92" i="8" s="1"/>
  <c r="BN4" i="8"/>
  <c r="BN3" i="8" s="1"/>
  <c r="BM105" i="8"/>
  <c r="BN104" i="8"/>
  <c r="BN105" i="8" s="1"/>
  <c r="BM4" i="8"/>
  <c r="BM3" i="8" s="1"/>
  <c r="BM89" i="8" s="1"/>
  <c r="BN89" i="8" l="1"/>
  <c r="BP138" i="8" l="1"/>
  <c r="BP136" i="8"/>
  <c r="BP135" i="8"/>
  <c r="BP133" i="8"/>
  <c r="BP132" i="8"/>
  <c r="BP128" i="8"/>
  <c r="BP127" i="8"/>
  <c r="BP121" i="8"/>
  <c r="BP118" i="8"/>
  <c r="BO104" i="8"/>
  <c r="BP104" i="8" s="1"/>
  <c r="BO103" i="8"/>
  <c r="BP101" i="8"/>
  <c r="BO101" i="8"/>
  <c r="BP100" i="8"/>
  <c r="BP99" i="8"/>
  <c r="BO99" i="8"/>
  <c r="BP98" i="8"/>
  <c r="BO98" i="8"/>
  <c r="BP97" i="8"/>
  <c r="BO97" i="8"/>
  <c r="BP96" i="8"/>
  <c r="BO96" i="8"/>
  <c r="BP95" i="8"/>
  <c r="BO95" i="8"/>
  <c r="BP94" i="8"/>
  <c r="BP23" i="8"/>
  <c r="BO12" i="8"/>
  <c r="BO100" i="8" s="1"/>
  <c r="BO6" i="8"/>
  <c r="BO94" i="8" s="1"/>
  <c r="BO5" i="8"/>
  <c r="BP5" i="8" s="1"/>
  <c r="BP93" i="8" s="1"/>
  <c r="BK105" i="8"/>
  <c r="BL104" i="8"/>
  <c r="BL103" i="8"/>
  <c r="BK106" i="8"/>
  <c r="BL106" i="8"/>
  <c r="BL101" i="8"/>
  <c r="BK101" i="8"/>
  <c r="BL100" i="8"/>
  <c r="BK100" i="8"/>
  <c r="BL99" i="8"/>
  <c r="BK99" i="8"/>
  <c r="BL98" i="8"/>
  <c r="BK98" i="8"/>
  <c r="BL97" i="8"/>
  <c r="BK97" i="8"/>
  <c r="BL96" i="8"/>
  <c r="BK96" i="8"/>
  <c r="BL95" i="8"/>
  <c r="BK95" i="8"/>
  <c r="BL94" i="8"/>
  <c r="BK94" i="8"/>
  <c r="BK93" i="8"/>
  <c r="BL5" i="8"/>
  <c r="BL93" i="8" s="1"/>
  <c r="AM104" i="8"/>
  <c r="AN104" i="8" s="1"/>
  <c r="AN103" i="8"/>
  <c r="AN101" i="8"/>
  <c r="AM101" i="8"/>
  <c r="AN100" i="8"/>
  <c r="AN99" i="8"/>
  <c r="AM99" i="8"/>
  <c r="AN97" i="8"/>
  <c r="AM97" i="8"/>
  <c r="AN96" i="8"/>
  <c r="AM96" i="8"/>
  <c r="AN95" i="8"/>
  <c r="AM95" i="8"/>
  <c r="AN94" i="8"/>
  <c r="AM94" i="8"/>
  <c r="AN88" i="8"/>
  <c r="AM12" i="8"/>
  <c r="AM100" i="8" s="1"/>
  <c r="AM5" i="8"/>
  <c r="AN5" i="8" s="1"/>
  <c r="AN93" i="8" s="1"/>
  <c r="AI105" i="8"/>
  <c r="AJ104" i="8"/>
  <c r="AJ103" i="8"/>
  <c r="AJ105" i="8" s="1"/>
  <c r="AJ101" i="8"/>
  <c r="AI101" i="8"/>
  <c r="AI100" i="8"/>
  <c r="AJ99" i="8"/>
  <c r="AI99" i="8"/>
  <c r="AJ97" i="8"/>
  <c r="AI97" i="8"/>
  <c r="AJ96" i="8"/>
  <c r="AI96" i="8"/>
  <c r="AJ95" i="8"/>
  <c r="AI95" i="8"/>
  <c r="AJ94" i="8"/>
  <c r="AJ88" i="8"/>
  <c r="AJ12" i="8"/>
  <c r="AJ100" i="8" s="1"/>
  <c r="AI6" i="8"/>
  <c r="AI94" i="8" s="1"/>
  <c r="AI5" i="8"/>
  <c r="AJ5" i="8" s="1"/>
  <c r="AJ93" i="8" s="1"/>
  <c r="AD128" i="8"/>
  <c r="AC104" i="8"/>
  <c r="AD104" i="8" s="1"/>
  <c r="AD103" i="8"/>
  <c r="AD94" i="8"/>
  <c r="AC95" i="8"/>
  <c r="AD95" i="8"/>
  <c r="AC96" i="8"/>
  <c r="AD96" i="8"/>
  <c r="AC97" i="8"/>
  <c r="AD97" i="8"/>
  <c r="AC99" i="8"/>
  <c r="AD99" i="8"/>
  <c r="AD100" i="8"/>
  <c r="AC101" i="8"/>
  <c r="AD101" i="8"/>
  <c r="AM93" i="8" l="1"/>
  <c r="AI93" i="8"/>
  <c r="AD105" i="8"/>
  <c r="BL105" i="8"/>
  <c r="BO93" i="8"/>
  <c r="BO105" i="8"/>
  <c r="BP103" i="8"/>
  <c r="AN105" i="8"/>
  <c r="AM105" i="8"/>
  <c r="AC105" i="8"/>
  <c r="AC12" i="8"/>
  <c r="AC100" i="8" s="1"/>
  <c r="AC6" i="8"/>
  <c r="AC94" i="8" s="1"/>
  <c r="AC5" i="8"/>
  <c r="AK104" i="8"/>
  <c r="AL104" i="8" s="1"/>
  <c r="AL103" i="8"/>
  <c r="AL105" i="8" s="1"/>
  <c r="AL101" i="8"/>
  <c r="AK101" i="8"/>
  <c r="AL100" i="8"/>
  <c r="AK100" i="8"/>
  <c r="AL99" i="8"/>
  <c r="AK99" i="8"/>
  <c r="AL97" i="8"/>
  <c r="AK97" i="8"/>
  <c r="AL96" i="8"/>
  <c r="AK96" i="8"/>
  <c r="AL95" i="8"/>
  <c r="AK95" i="8"/>
  <c r="AL94" i="8"/>
  <c r="AK94" i="8"/>
  <c r="AK5" i="8"/>
  <c r="AL5" i="8" s="1"/>
  <c r="AL93" i="8" s="1"/>
  <c r="AE104" i="8"/>
  <c r="AE105" i="8" s="1"/>
  <c r="AF103" i="8"/>
  <c r="AF101" i="8"/>
  <c r="AE101" i="8"/>
  <c r="AF100" i="8"/>
  <c r="AF99" i="8"/>
  <c r="AE99" i="8"/>
  <c r="AF97" i="8"/>
  <c r="AE97" i="8"/>
  <c r="AF96" i="8"/>
  <c r="AE96" i="8"/>
  <c r="AF95" i="8"/>
  <c r="AE95" i="8"/>
  <c r="AF94" i="8"/>
  <c r="AE94" i="8"/>
  <c r="AF88" i="8"/>
  <c r="AE12" i="8"/>
  <c r="AE100" i="8" s="1"/>
  <c r="AE5" i="8"/>
  <c r="AF5" i="8" s="1"/>
  <c r="AF93" i="8" s="1"/>
  <c r="AG104" i="8"/>
  <c r="AH104" i="8" s="1"/>
  <c r="AH103" i="8"/>
  <c r="AH101" i="8"/>
  <c r="AG101" i="8"/>
  <c r="AH100" i="8"/>
  <c r="AH99" i="8"/>
  <c r="AG99" i="8"/>
  <c r="AH97" i="8"/>
  <c r="AG97" i="8"/>
  <c r="AH96" i="8"/>
  <c r="AG96" i="8"/>
  <c r="AH95" i="8"/>
  <c r="AG95" i="8"/>
  <c r="AH94" i="8"/>
  <c r="AG94" i="8"/>
  <c r="AG12" i="8"/>
  <c r="AG100" i="8" s="1"/>
  <c r="AG5" i="8"/>
  <c r="AH5" i="8" s="1"/>
  <c r="AH93" i="8" s="1"/>
  <c r="AA104" i="8"/>
  <c r="AA105" i="8" s="1"/>
  <c r="AB103" i="8"/>
  <c r="AB101" i="8"/>
  <c r="AA101" i="8"/>
  <c r="AB100" i="8"/>
  <c r="AA100" i="8"/>
  <c r="AB99" i="8"/>
  <c r="AA99" i="8"/>
  <c r="AB97" i="8"/>
  <c r="AA97" i="8"/>
  <c r="AB96" i="8"/>
  <c r="AA96" i="8"/>
  <c r="AB95" i="8"/>
  <c r="AA95" i="8"/>
  <c r="AB94" i="8"/>
  <c r="AA94" i="8"/>
  <c r="AA5" i="8"/>
  <c r="AB5" i="8" s="1"/>
  <c r="AB93" i="8" s="1"/>
  <c r="Y104" i="8"/>
  <c r="Y105" i="8" s="1"/>
  <c r="Z103" i="8"/>
  <c r="Z101" i="8"/>
  <c r="Y101" i="8"/>
  <c r="Z100" i="8"/>
  <c r="Y100" i="8"/>
  <c r="Z99" i="8"/>
  <c r="Y99" i="8"/>
  <c r="Z97" i="8"/>
  <c r="Y97" i="8"/>
  <c r="Z96" i="8"/>
  <c r="Y96" i="8"/>
  <c r="Z95" i="8"/>
  <c r="Y95" i="8"/>
  <c r="Z94" i="8"/>
  <c r="Y94" i="8"/>
  <c r="Y5" i="8"/>
  <c r="Z5" i="8" s="1"/>
  <c r="Z93" i="8" s="1"/>
  <c r="W104" i="8"/>
  <c r="W105" i="8" s="1"/>
  <c r="X103" i="8"/>
  <c r="X101" i="8"/>
  <c r="W101" i="8"/>
  <c r="X100" i="8"/>
  <c r="W100" i="8"/>
  <c r="X99" i="8"/>
  <c r="W99" i="8"/>
  <c r="X97" i="8"/>
  <c r="W97" i="8"/>
  <c r="X96" i="8"/>
  <c r="W96" i="8"/>
  <c r="X95" i="8"/>
  <c r="W95" i="8"/>
  <c r="X94" i="8"/>
  <c r="X88" i="8"/>
  <c r="W6" i="8"/>
  <c r="W94" i="8" s="1"/>
  <c r="W5" i="8"/>
  <c r="X5" i="8" s="1"/>
  <c r="X93" i="8" s="1"/>
  <c r="U104" i="8"/>
  <c r="U105" i="8" s="1"/>
  <c r="V103" i="8"/>
  <c r="V101" i="8"/>
  <c r="U101" i="8"/>
  <c r="V100" i="8"/>
  <c r="U100" i="8"/>
  <c r="V99" i="8"/>
  <c r="U99" i="8"/>
  <c r="V97" i="8"/>
  <c r="U97" i="8"/>
  <c r="V96" i="8"/>
  <c r="U96" i="8"/>
  <c r="V95" i="8"/>
  <c r="U95" i="8"/>
  <c r="V94" i="8"/>
  <c r="U94" i="8"/>
  <c r="U5" i="8"/>
  <c r="V5" i="8" s="1"/>
  <c r="V93" i="8" s="1"/>
  <c r="S104" i="8"/>
  <c r="S105" i="8" s="1"/>
  <c r="T103" i="8"/>
  <c r="T101" i="8"/>
  <c r="S101" i="8"/>
  <c r="T100" i="8"/>
  <c r="S100" i="8"/>
  <c r="T99" i="8"/>
  <c r="S99" i="8"/>
  <c r="T97" i="8"/>
  <c r="S97" i="8"/>
  <c r="T96" i="8"/>
  <c r="S96" i="8"/>
  <c r="T95" i="8"/>
  <c r="S95" i="8"/>
  <c r="T94" i="8"/>
  <c r="S94" i="8"/>
  <c r="S5" i="8"/>
  <c r="T5" i="8" s="1"/>
  <c r="T93" i="8" s="1"/>
  <c r="T88" i="8"/>
  <c r="R117" i="8"/>
  <c r="Q104" i="8"/>
  <c r="Q105" i="8" s="1"/>
  <c r="R103" i="8"/>
  <c r="R101" i="8"/>
  <c r="Q101" i="8"/>
  <c r="R100" i="8"/>
  <c r="R99" i="8"/>
  <c r="Q99" i="8"/>
  <c r="R97" i="8"/>
  <c r="Q97" i="8"/>
  <c r="R96" i="8"/>
  <c r="Q96" i="8"/>
  <c r="R95" i="8"/>
  <c r="Q95" i="8"/>
  <c r="R94" i="8"/>
  <c r="R88" i="8"/>
  <c r="Q69" i="8"/>
  <c r="Q12" i="8"/>
  <c r="Q100" i="8" s="1"/>
  <c r="Q6" i="8"/>
  <c r="Q94" i="8" s="1"/>
  <c r="Q5" i="8"/>
  <c r="R5" i="8" s="1"/>
  <c r="R93" i="8" s="1"/>
  <c r="AK93" i="8" l="1"/>
  <c r="Z104" i="8"/>
  <c r="Z105" i="8" s="1"/>
  <c r="Q93" i="8"/>
  <c r="U93" i="8"/>
  <c r="S93" i="8"/>
  <c r="AA93" i="8"/>
  <c r="AD5" i="8"/>
  <c r="AD93" i="8" s="1"/>
  <c r="AC93" i="8"/>
  <c r="V104" i="8"/>
  <c r="V105" i="8" s="1"/>
  <c r="Y93" i="8"/>
  <c r="AE93" i="8"/>
  <c r="AG93" i="8"/>
  <c r="W93" i="8"/>
  <c r="AG105" i="8"/>
  <c r="BP105" i="8"/>
  <c r="AK105" i="8"/>
  <c r="AF104" i="8"/>
  <c r="AF105" i="8" s="1"/>
  <c r="AH105" i="8"/>
  <c r="AB104" i="8"/>
  <c r="AB105" i="8" s="1"/>
  <c r="X104" i="8"/>
  <c r="X105" i="8" s="1"/>
  <c r="T104" i="8"/>
  <c r="T105" i="8" s="1"/>
  <c r="R104" i="8"/>
  <c r="R105" i="8" s="1"/>
  <c r="O104" i="8"/>
  <c r="P104" i="8" s="1"/>
  <c r="O103" i="8"/>
  <c r="P103" i="8" s="1"/>
  <c r="P105" i="8" s="1"/>
  <c r="P101" i="8"/>
  <c r="O101" i="8"/>
  <c r="P100" i="8"/>
  <c r="P99" i="8"/>
  <c r="O99" i="8"/>
  <c r="P97" i="8"/>
  <c r="O97" i="8"/>
  <c r="P96" i="8"/>
  <c r="O96" i="8"/>
  <c r="P95" i="8"/>
  <c r="O95" i="8"/>
  <c r="P94" i="8"/>
  <c r="O12" i="8"/>
  <c r="O100" i="8" s="1"/>
  <c r="O6" i="8"/>
  <c r="O94" i="8" s="1"/>
  <c r="O5" i="8"/>
  <c r="P5" i="8" s="1"/>
  <c r="P93" i="8" s="1"/>
  <c r="M104" i="8"/>
  <c r="N104" i="8" s="1"/>
  <c r="M103" i="8"/>
  <c r="N101" i="8"/>
  <c r="M101" i="8"/>
  <c r="N100" i="8"/>
  <c r="N99" i="8"/>
  <c r="M99" i="8"/>
  <c r="N97" i="8"/>
  <c r="M97" i="8"/>
  <c r="N96" i="8"/>
  <c r="M96" i="8"/>
  <c r="N95" i="8"/>
  <c r="M95" i="8"/>
  <c r="N94" i="8"/>
  <c r="M105" i="8" l="1"/>
  <c r="N103" i="8"/>
  <c r="N105" i="8" s="1"/>
  <c r="O105" i="8"/>
  <c r="O93" i="8"/>
  <c r="M12" i="8" l="1"/>
  <c r="M100" i="8" s="1"/>
  <c r="M6" i="8"/>
  <c r="M94" i="8" s="1"/>
  <c r="M5" i="8"/>
  <c r="K104" i="8"/>
  <c r="K105" i="8" s="1"/>
  <c r="L103" i="8"/>
  <c r="L101" i="8"/>
  <c r="K101" i="8"/>
  <c r="K100" i="8"/>
  <c r="L99" i="8"/>
  <c r="K99" i="8"/>
  <c r="L97" i="8"/>
  <c r="K97" i="8"/>
  <c r="L96" i="8"/>
  <c r="K96" i="8"/>
  <c r="L95" i="8"/>
  <c r="K95" i="8"/>
  <c r="L94" i="8"/>
  <c r="L88" i="8"/>
  <c r="K28" i="8"/>
  <c r="L12" i="8"/>
  <c r="L100" i="8" s="1"/>
  <c r="K6" i="8"/>
  <c r="K94" i="8" s="1"/>
  <c r="K5" i="8"/>
  <c r="L5" i="8" s="1"/>
  <c r="L93" i="8" s="1"/>
  <c r="I104" i="8"/>
  <c r="I105" i="8" s="1"/>
  <c r="J103" i="8"/>
  <c r="J101" i="8"/>
  <c r="I101" i="8"/>
  <c r="J100" i="8"/>
  <c r="I100" i="8"/>
  <c r="J99" i="8"/>
  <c r="I99" i="8"/>
  <c r="J97" i="8"/>
  <c r="I97" i="8"/>
  <c r="J96" i="8"/>
  <c r="I96" i="8"/>
  <c r="J95" i="8"/>
  <c r="I95" i="8"/>
  <c r="J94" i="8"/>
  <c r="I94" i="8"/>
  <c r="J88" i="8"/>
  <c r="I5" i="8"/>
  <c r="J5" i="8" s="1"/>
  <c r="J93" i="8" s="1"/>
  <c r="F114" i="8"/>
  <c r="H150" i="8"/>
  <c r="G150" i="8"/>
  <c r="G137" i="8"/>
  <c r="G136" i="8"/>
  <c r="H128" i="8"/>
  <c r="G128" i="8"/>
  <c r="H126" i="8"/>
  <c r="G126" i="8"/>
  <c r="G118" i="8"/>
  <c r="G104" i="8"/>
  <c r="G105" i="8" s="1"/>
  <c r="H103" i="8"/>
  <c r="G110" i="8"/>
  <c r="H101" i="8"/>
  <c r="G101" i="8"/>
  <c r="H100" i="8"/>
  <c r="G100" i="8"/>
  <c r="H99" i="8"/>
  <c r="G99" i="8"/>
  <c r="H97" i="8"/>
  <c r="G97" i="8"/>
  <c r="H96" i="8"/>
  <c r="G96" i="8"/>
  <c r="H95" i="8"/>
  <c r="G95" i="8"/>
  <c r="H94" i="8"/>
  <c r="H88" i="8"/>
  <c r="G12" i="8"/>
  <c r="G6" i="8"/>
  <c r="G94" i="8" s="1"/>
  <c r="G5" i="8"/>
  <c r="H5" i="8" s="1"/>
  <c r="H93" i="8" s="1"/>
  <c r="I93" i="8" l="1"/>
  <c r="K93" i="8"/>
  <c r="G93" i="8"/>
  <c r="L104" i="8"/>
  <c r="L105" i="8" s="1"/>
  <c r="N5" i="8"/>
  <c r="N93" i="8" s="1"/>
  <c r="M93" i="8"/>
  <c r="J104" i="8"/>
  <c r="J105" i="8" s="1"/>
  <c r="H104" i="8"/>
  <c r="H105" i="8" s="1"/>
  <c r="W154" i="8" l="1"/>
  <c r="X154" i="8"/>
  <c r="U119" i="8" l="1"/>
  <c r="V119" i="8"/>
  <c r="M150" i="8" l="1"/>
  <c r="M154" i="8"/>
  <c r="N154" i="8"/>
  <c r="K144" i="8" l="1"/>
  <c r="L144" i="8"/>
  <c r="L18" i="8" s="1"/>
  <c r="K150" i="8"/>
  <c r="K149" i="8" s="1"/>
  <c r="L150" i="8"/>
  <c r="L149" i="8" s="1"/>
  <c r="K29" i="8"/>
  <c r="L29" i="8"/>
  <c r="BO4" i="8" l="1"/>
  <c r="BO3" i="8" s="1"/>
  <c r="BO92" i="8"/>
  <c r="E5" i="8"/>
  <c r="H119" i="8"/>
  <c r="H22" i="8"/>
  <c r="G22" i="8"/>
  <c r="H40" i="8" l="1"/>
  <c r="G40" i="8"/>
  <c r="F150" i="1"/>
  <c r="E25" i="14"/>
  <c r="C25" i="14"/>
  <c r="F31" i="14"/>
  <c r="F165" i="8"/>
  <c r="E165" i="8"/>
  <c r="F164" i="8"/>
  <c r="E164" i="8"/>
  <c r="F163" i="8"/>
  <c r="E163" i="8"/>
  <c r="F162" i="8"/>
  <c r="E162" i="8"/>
  <c r="F160" i="8"/>
  <c r="F158" i="8" s="1"/>
  <c r="E160" i="8"/>
  <c r="F155" i="8"/>
  <c r="F154" i="8" s="1"/>
  <c r="E155" i="8"/>
  <c r="F153" i="8"/>
  <c r="E153" i="8"/>
  <c r="F152" i="8"/>
  <c r="E152" i="8"/>
  <c r="F151" i="8"/>
  <c r="E151" i="8"/>
  <c r="E148" i="8"/>
  <c r="E147" i="8"/>
  <c r="E146" i="8"/>
  <c r="E145" i="8"/>
  <c r="F141" i="8"/>
  <c r="E141" i="8"/>
  <c r="F140" i="8"/>
  <c r="E140" i="8"/>
  <c r="F139" i="8"/>
  <c r="E139" i="8"/>
  <c r="F138" i="8"/>
  <c r="E138" i="8"/>
  <c r="F137" i="8"/>
  <c r="E137" i="8"/>
  <c r="F136" i="8"/>
  <c r="E136" i="8"/>
  <c r="F135" i="8"/>
  <c r="E135" i="8"/>
  <c r="F134" i="8"/>
  <c r="E134" i="8"/>
  <c r="F133" i="8"/>
  <c r="E133" i="8"/>
  <c r="F132" i="8"/>
  <c r="E132" i="8"/>
  <c r="F131" i="8"/>
  <c r="E131" i="8"/>
  <c r="F129" i="8"/>
  <c r="E129" i="8"/>
  <c r="F128" i="8"/>
  <c r="E128" i="8"/>
  <c r="F127" i="8"/>
  <c r="E127" i="8"/>
  <c r="F126" i="8"/>
  <c r="E126" i="8"/>
  <c r="F124" i="8"/>
  <c r="E124" i="8"/>
  <c r="F123" i="8"/>
  <c r="E123" i="8"/>
  <c r="F122" i="8"/>
  <c r="E122" i="8"/>
  <c r="F121" i="8"/>
  <c r="E121" i="8"/>
  <c r="F120" i="8"/>
  <c r="E120" i="8"/>
  <c r="F118" i="8"/>
  <c r="E118" i="8"/>
  <c r="F117" i="8"/>
  <c r="E117" i="8"/>
  <c r="E114" i="8"/>
  <c r="F108" i="8"/>
  <c r="E108" i="8"/>
  <c r="F107" i="8"/>
  <c r="E107" i="8"/>
  <c r="F105" i="8"/>
  <c r="E105" i="8"/>
  <c r="F104" i="8"/>
  <c r="E104" i="8"/>
  <c r="F103" i="8"/>
  <c r="E103" i="8"/>
  <c r="E101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88" i="8"/>
  <c r="F87" i="8" s="1"/>
  <c r="E88" i="8"/>
  <c r="F85" i="8"/>
  <c r="F83" i="8"/>
  <c r="F81" i="8"/>
  <c r="F80" i="8" s="1"/>
  <c r="E81" i="8"/>
  <c r="F78" i="8"/>
  <c r="F77" i="8" s="1"/>
  <c r="E78" i="8"/>
  <c r="F75" i="8"/>
  <c r="F74" i="8" s="1"/>
  <c r="E75" i="8"/>
  <c r="F72" i="8"/>
  <c r="F71" i="8" s="1"/>
  <c r="E72" i="8"/>
  <c r="F69" i="8"/>
  <c r="F68" i="8" s="1"/>
  <c r="E69" i="8"/>
  <c r="F66" i="8"/>
  <c r="F65" i="8" s="1"/>
  <c r="E66" i="8"/>
  <c r="F63" i="8"/>
  <c r="F62" i="8" s="1"/>
  <c r="E63" i="8"/>
  <c r="F60" i="8"/>
  <c r="F59" i="8" s="1"/>
  <c r="E60" i="8"/>
  <c r="F56" i="8"/>
  <c r="F53" i="8"/>
  <c r="F52" i="8" s="1"/>
  <c r="E53" i="8"/>
  <c r="F51" i="8"/>
  <c r="F48" i="8" s="1"/>
  <c r="E51" i="8"/>
  <c r="F47" i="8"/>
  <c r="E47" i="8"/>
  <c r="F46" i="8"/>
  <c r="E46" i="8"/>
  <c r="F45" i="8"/>
  <c r="E45" i="8"/>
  <c r="F41" i="8"/>
  <c r="E41" i="8"/>
  <c r="F39" i="8"/>
  <c r="E39" i="8"/>
  <c r="F38" i="8"/>
  <c r="E38" i="8"/>
  <c r="F29" i="8"/>
  <c r="F28" i="8"/>
  <c r="E28" i="8"/>
  <c r="F27" i="8"/>
  <c r="E27" i="8"/>
  <c r="F26" i="8"/>
  <c r="E26" i="8"/>
  <c r="F25" i="8"/>
  <c r="E25" i="8"/>
  <c r="F24" i="8"/>
  <c r="E24" i="8"/>
  <c r="F23" i="8"/>
  <c r="E23" i="8"/>
  <c r="F20" i="8"/>
  <c r="F19" i="8"/>
  <c r="E19" i="8"/>
  <c r="F15" i="8"/>
  <c r="E15" i="8"/>
  <c r="F14" i="8"/>
  <c r="E14" i="8"/>
  <c r="F13" i="8"/>
  <c r="F12" i="8"/>
  <c r="F11" i="8"/>
  <c r="F10" i="8"/>
  <c r="F9" i="8"/>
  <c r="F8" i="8"/>
  <c r="F7" i="8"/>
  <c r="F6" i="8"/>
  <c r="F5" i="8"/>
  <c r="E13" i="8"/>
  <c r="E12" i="8"/>
  <c r="E11" i="8"/>
  <c r="E10" i="8"/>
  <c r="E9" i="8"/>
  <c r="E8" i="8"/>
  <c r="E7" i="8"/>
  <c r="E6" i="8"/>
  <c r="F161" i="1"/>
  <c r="F158" i="1"/>
  <c r="F154" i="1"/>
  <c r="F149" i="1"/>
  <c r="F144" i="1"/>
  <c r="F142" i="1"/>
  <c r="F130" i="1"/>
  <c r="F125" i="1"/>
  <c r="F119" i="1"/>
  <c r="F116" i="1" s="1"/>
  <c r="F106" i="1"/>
  <c r="F102" i="1" s="1"/>
  <c r="F92" i="1"/>
  <c r="F87" i="1"/>
  <c r="F85" i="1"/>
  <c r="F83" i="1"/>
  <c r="F80" i="1"/>
  <c r="F77" i="1"/>
  <c r="F74" i="1"/>
  <c r="F71" i="1"/>
  <c r="F68" i="1"/>
  <c r="F65" i="1"/>
  <c r="F62" i="1"/>
  <c r="F59" i="1"/>
  <c r="F56" i="1"/>
  <c r="F52" i="1"/>
  <c r="F48" i="1"/>
  <c r="F40" i="1"/>
  <c r="F37" i="1"/>
  <c r="F32" i="1"/>
  <c r="F29" i="1"/>
  <c r="F22" i="1"/>
  <c r="F20" i="1"/>
  <c r="F17" i="1"/>
  <c r="F4" i="1"/>
  <c r="F3" i="1" s="1"/>
  <c r="F125" i="8" l="1"/>
  <c r="F119" i="8"/>
  <c r="F116" i="8" s="1"/>
  <c r="F161" i="8"/>
  <c r="F130" i="8"/>
  <c r="F37" i="8"/>
  <c r="F4" i="8"/>
  <c r="F3" i="8" s="1"/>
  <c r="F91" i="1"/>
  <c r="F58" i="1"/>
  <c r="F58" i="8"/>
  <c r="F40" i="8"/>
  <c r="F22" i="8"/>
  <c r="F115" i="1"/>
  <c r="F113" i="1" s="1"/>
  <c r="F16" i="1"/>
  <c r="F166" i="1" l="1"/>
  <c r="F89" i="1"/>
  <c r="D23" i="14"/>
  <c r="C243" i="12"/>
  <c r="C22" i="12"/>
  <c r="F168" i="1" l="1"/>
  <c r="F167" i="1"/>
  <c r="B5" i="11"/>
  <c r="O106" i="8" l="1"/>
  <c r="C11" i="15" l="1"/>
  <c r="C10" i="15"/>
  <c r="E72" i="14"/>
  <c r="F72" i="14" s="1"/>
  <c r="E71" i="14"/>
  <c r="G71" i="14" s="1"/>
  <c r="E70" i="14"/>
  <c r="F70" i="14" s="1"/>
  <c r="C95" i="12" s="1"/>
  <c r="C84" i="12" s="1"/>
  <c r="E69" i="14"/>
  <c r="F69" i="14" s="1"/>
  <c r="E68" i="14"/>
  <c r="F68" i="14" s="1"/>
  <c r="E67" i="14"/>
  <c r="F67" i="14" s="1"/>
  <c r="E66" i="14"/>
  <c r="G66" i="14" s="1"/>
  <c r="E63" i="14"/>
  <c r="F63" i="14" s="1"/>
  <c r="E62" i="14"/>
  <c r="F62" i="14" s="1"/>
  <c r="C102" i="12" s="1"/>
  <c r="C100" i="12" s="1"/>
  <c r="E61" i="14"/>
  <c r="G61" i="14" s="1"/>
  <c r="E60" i="14"/>
  <c r="F60" i="14" s="1"/>
  <c r="E59" i="14"/>
  <c r="F59" i="14" s="1"/>
  <c r="E58" i="14"/>
  <c r="F58" i="14" s="1"/>
  <c r="E57" i="14"/>
  <c r="C46" i="14"/>
  <c r="D42" i="14"/>
  <c r="F42" i="14" s="1"/>
  <c r="D22" i="14"/>
  <c r="D21" i="14"/>
  <c r="D20" i="14"/>
  <c r="D19" i="14"/>
  <c r="D18" i="14"/>
  <c r="D17" i="14"/>
  <c r="D16" i="14"/>
  <c r="D15" i="14"/>
  <c r="D14" i="14"/>
  <c r="D13" i="14"/>
  <c r="D12" i="14"/>
  <c r="C442" i="12"/>
  <c r="C437" i="12"/>
  <c r="C381" i="12"/>
  <c r="C344" i="12"/>
  <c r="C335" i="12"/>
  <c r="C324" i="12"/>
  <c r="C315" i="12"/>
  <c r="C318" i="12"/>
  <c r="C314" i="12"/>
  <c r="C309" i="12"/>
  <c r="C308" i="12"/>
  <c r="C307" i="12"/>
  <c r="C295" i="12"/>
  <c r="C293" i="12"/>
  <c r="C292" i="12"/>
  <c r="C291" i="12"/>
  <c r="C290" i="12"/>
  <c r="C289" i="12"/>
  <c r="C287" i="12"/>
  <c r="C284" i="12"/>
  <c r="C282" i="12"/>
  <c r="C281" i="12"/>
  <c r="C280" i="12"/>
  <c r="C277" i="12"/>
  <c r="C276" i="12"/>
  <c r="C274" i="12"/>
  <c r="C268" i="12"/>
  <c r="C267" i="12"/>
  <c r="C266" i="12"/>
  <c r="C254" i="12"/>
  <c r="C252" i="12"/>
  <c r="C251" i="12"/>
  <c r="C250" i="12"/>
  <c r="C249" i="12"/>
  <c r="C248" i="12"/>
  <c r="C247" i="12"/>
  <c r="C246" i="12"/>
  <c r="C245" i="12"/>
  <c r="C220" i="12"/>
  <c r="C331" i="12"/>
  <c r="C329" i="12"/>
  <c r="C213" i="12"/>
  <c r="C212" i="12"/>
  <c r="C191" i="12"/>
  <c r="C183" i="12"/>
  <c r="C179" i="12"/>
  <c r="C173" i="12"/>
  <c r="C143" i="12"/>
  <c r="C139" i="12"/>
  <c r="C127" i="12"/>
  <c r="C121" i="12"/>
  <c r="C120" i="12"/>
  <c r="C69" i="12"/>
  <c r="C66" i="12"/>
  <c r="C65" i="12"/>
  <c r="C64" i="12"/>
  <c r="C63" i="12"/>
  <c r="C55" i="12"/>
  <c r="C53" i="12"/>
  <c r="C52" i="12"/>
  <c r="C49" i="12"/>
  <c r="C48" i="12"/>
  <c r="C47" i="12"/>
  <c r="C37" i="12"/>
  <c r="C36" i="12"/>
  <c r="C35" i="12"/>
  <c r="C31" i="12"/>
  <c r="C26" i="12"/>
  <c r="C25" i="12"/>
  <c r="C24" i="12"/>
  <c r="C23" i="12"/>
  <c r="F43" i="2"/>
  <c r="C32" i="2"/>
  <c r="F17" i="2"/>
  <c r="F61" i="4"/>
  <c r="E61" i="4"/>
  <c r="F59" i="4"/>
  <c r="E59" i="4"/>
  <c r="F58" i="4"/>
  <c r="F89" i="16" s="1"/>
  <c r="E58" i="4"/>
  <c r="E89" i="16" s="1"/>
  <c r="F56" i="4"/>
  <c r="E56" i="4"/>
  <c r="F55" i="4"/>
  <c r="E55" i="4"/>
  <c r="F53" i="4"/>
  <c r="F84" i="16" s="1"/>
  <c r="E53" i="4"/>
  <c r="E84" i="16" s="1"/>
  <c r="F52" i="4"/>
  <c r="F83" i="16" s="1"/>
  <c r="E52" i="4"/>
  <c r="E83" i="16" s="1"/>
  <c r="F51" i="4"/>
  <c r="F82" i="16" s="1"/>
  <c r="E51" i="4"/>
  <c r="E82" i="16" s="1"/>
  <c r="F48" i="4"/>
  <c r="F79" i="16" s="1"/>
  <c r="E48" i="4"/>
  <c r="F47" i="4"/>
  <c r="E47" i="4"/>
  <c r="F46" i="4"/>
  <c r="E46" i="4"/>
  <c r="F45" i="4"/>
  <c r="E45" i="4"/>
  <c r="F42" i="4"/>
  <c r="F73" i="16" s="1"/>
  <c r="E42" i="4"/>
  <c r="E73" i="16" s="1"/>
  <c r="F41" i="4"/>
  <c r="F72" i="16" s="1"/>
  <c r="E41" i="4"/>
  <c r="E72" i="16" s="1"/>
  <c r="F40" i="4"/>
  <c r="F71" i="16" s="1"/>
  <c r="E40" i="4"/>
  <c r="E71" i="16" s="1"/>
  <c r="F38" i="4"/>
  <c r="F69" i="16" s="1"/>
  <c r="E38" i="4"/>
  <c r="E69" i="16" s="1"/>
  <c r="F37" i="4"/>
  <c r="F68" i="16" s="1"/>
  <c r="E37" i="4"/>
  <c r="E68" i="16" s="1"/>
  <c r="F36" i="4"/>
  <c r="F67" i="16" s="1"/>
  <c r="E36" i="4"/>
  <c r="E67" i="16" s="1"/>
  <c r="F35" i="4"/>
  <c r="F66" i="16" s="1"/>
  <c r="E35" i="4"/>
  <c r="E66" i="16" s="1"/>
  <c r="F33" i="4"/>
  <c r="F64" i="16" s="1"/>
  <c r="E33" i="4"/>
  <c r="E64" i="16" s="1"/>
  <c r="F32" i="4"/>
  <c r="F63" i="16" s="1"/>
  <c r="E32" i="4"/>
  <c r="E63" i="16" s="1"/>
  <c r="F30" i="4"/>
  <c r="F61" i="16" s="1"/>
  <c r="E30" i="4"/>
  <c r="E61" i="16" s="1"/>
  <c r="F29" i="4"/>
  <c r="F60" i="16" s="1"/>
  <c r="E29" i="4"/>
  <c r="E60" i="16" s="1"/>
  <c r="F26" i="4"/>
  <c r="E26" i="4"/>
  <c r="F24" i="4"/>
  <c r="F57" i="16" s="1"/>
  <c r="E24" i="4"/>
  <c r="E57" i="16" s="1"/>
  <c r="F23" i="4"/>
  <c r="F56" i="16" s="1"/>
  <c r="E23" i="4"/>
  <c r="E56" i="16" s="1"/>
  <c r="F22" i="4"/>
  <c r="F55" i="16" s="1"/>
  <c r="E22" i="4"/>
  <c r="E55" i="16" s="1"/>
  <c r="F20" i="4"/>
  <c r="F53" i="16" s="1"/>
  <c r="E20" i="4"/>
  <c r="E53" i="16" s="1"/>
  <c r="E17" i="4"/>
  <c r="E50" i="16" s="1"/>
  <c r="F13" i="4"/>
  <c r="F12" i="4"/>
  <c r="E12" i="4"/>
  <c r="E11" i="4"/>
  <c r="F10" i="4"/>
  <c r="E10" i="4"/>
  <c r="F9" i="4"/>
  <c r="E9" i="4"/>
  <c r="F8" i="4"/>
  <c r="E8" i="4"/>
  <c r="E7" i="4"/>
  <c r="F6" i="4"/>
  <c r="F42" i="3"/>
  <c r="E42" i="3"/>
  <c r="F41" i="3"/>
  <c r="F32" i="16" s="1"/>
  <c r="E41" i="3"/>
  <c r="E32" i="16" s="1"/>
  <c r="F39" i="3"/>
  <c r="F30" i="16" s="1"/>
  <c r="E39" i="3"/>
  <c r="E30" i="16" s="1"/>
  <c r="F38" i="3"/>
  <c r="E38" i="3"/>
  <c r="F37" i="3"/>
  <c r="E37" i="3"/>
  <c r="E28" i="16" s="1"/>
  <c r="F35" i="3"/>
  <c r="E35" i="3"/>
  <c r="F34" i="3"/>
  <c r="J34" i="3" s="1"/>
  <c r="F25" i="16" s="1"/>
  <c r="E34" i="3"/>
  <c r="I34" i="3" s="1"/>
  <c r="E25" i="16" s="1"/>
  <c r="F33" i="3"/>
  <c r="J33" i="3" s="1"/>
  <c r="F24" i="16" s="1"/>
  <c r="E33" i="3"/>
  <c r="I33" i="3" s="1"/>
  <c r="E24" i="16" s="1"/>
  <c r="F32" i="3"/>
  <c r="E32" i="3"/>
  <c r="F28" i="3"/>
  <c r="E28" i="3"/>
  <c r="F27" i="3"/>
  <c r="F18" i="16" s="1"/>
  <c r="E27" i="3"/>
  <c r="H26" i="3"/>
  <c r="G26" i="3"/>
  <c r="F25" i="3"/>
  <c r="F16" i="16" s="1"/>
  <c r="E25" i="3"/>
  <c r="E16" i="16" s="1"/>
  <c r="F24" i="3"/>
  <c r="E24" i="3"/>
  <c r="F23" i="3"/>
  <c r="E23" i="3"/>
  <c r="M22" i="3"/>
  <c r="F22" i="3"/>
  <c r="E22" i="3"/>
  <c r="F21" i="3"/>
  <c r="E21" i="3"/>
  <c r="M19" i="3"/>
  <c r="F19" i="3"/>
  <c r="E19" i="3"/>
  <c r="H18" i="3"/>
  <c r="G18" i="3"/>
  <c r="F18" i="3"/>
  <c r="H17" i="3"/>
  <c r="C5" i="13" s="1"/>
  <c r="D5" i="13" s="1"/>
  <c r="F17" i="3"/>
  <c r="E17" i="3"/>
  <c r="M16" i="3"/>
  <c r="F16" i="3"/>
  <c r="E16" i="3"/>
  <c r="F13" i="3"/>
  <c r="E13" i="3"/>
  <c r="F12" i="3"/>
  <c r="E12" i="3"/>
  <c r="F10" i="3"/>
  <c r="E10" i="3"/>
  <c r="F9" i="3"/>
  <c r="E9" i="3"/>
  <c r="F8" i="3"/>
  <c r="E8" i="3"/>
  <c r="E7" i="3"/>
  <c r="F6" i="3"/>
  <c r="H61" i="4"/>
  <c r="G61" i="4"/>
  <c r="H60" i="4"/>
  <c r="F42" i="2" s="1"/>
  <c r="BP161" i="8"/>
  <c r="BO161" i="8"/>
  <c r="BL161" i="8"/>
  <c r="BK161" i="8"/>
  <c r="BJ161" i="8"/>
  <c r="BI161" i="8"/>
  <c r="BH161" i="8"/>
  <c r="BG161" i="8"/>
  <c r="BF161" i="8"/>
  <c r="BE161" i="8"/>
  <c r="BD161" i="8"/>
  <c r="BC161" i="8"/>
  <c r="BB161" i="8"/>
  <c r="BA161" i="8"/>
  <c r="AZ161" i="8"/>
  <c r="AY161" i="8"/>
  <c r="AX161" i="8"/>
  <c r="AW161" i="8"/>
  <c r="AV161" i="8"/>
  <c r="AU161" i="8"/>
  <c r="AT161" i="8"/>
  <c r="AS161" i="8"/>
  <c r="AR161" i="8"/>
  <c r="AQ161" i="8"/>
  <c r="AP161" i="8"/>
  <c r="AO161" i="8"/>
  <c r="AN161" i="8"/>
  <c r="AM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H59" i="4"/>
  <c r="H57" i="4" s="1"/>
  <c r="G59" i="4"/>
  <c r="G57" i="4" s="1"/>
  <c r="BP158" i="8"/>
  <c r="BO158" i="8"/>
  <c r="BL158" i="8"/>
  <c r="BK158" i="8"/>
  <c r="BJ158" i="8"/>
  <c r="BI158" i="8"/>
  <c r="BH158" i="8"/>
  <c r="BG158" i="8"/>
  <c r="BF158" i="8"/>
  <c r="BE158" i="8"/>
  <c r="BD158" i="8"/>
  <c r="BC158" i="8"/>
  <c r="BB158" i="8"/>
  <c r="BA158" i="8"/>
  <c r="AZ158" i="8"/>
  <c r="AY158" i="8"/>
  <c r="AX158" i="8"/>
  <c r="AW158" i="8"/>
  <c r="AV158" i="8"/>
  <c r="AU158" i="8"/>
  <c r="AT158" i="8"/>
  <c r="AS158" i="8"/>
  <c r="AR158" i="8"/>
  <c r="AQ158" i="8"/>
  <c r="AP158" i="8"/>
  <c r="AO158" i="8"/>
  <c r="AN158" i="8"/>
  <c r="AM158" i="8"/>
  <c r="AL158" i="8"/>
  <c r="AK158" i="8"/>
  <c r="AJ158" i="8"/>
  <c r="AI158" i="8"/>
  <c r="AH158" i="8"/>
  <c r="AG158" i="8"/>
  <c r="AF158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H55" i="4"/>
  <c r="H54" i="4" s="1"/>
  <c r="G55" i="4"/>
  <c r="G54" i="4" s="1"/>
  <c r="BP154" i="8"/>
  <c r="BO154" i="8"/>
  <c r="BL154" i="8"/>
  <c r="BK154" i="8"/>
  <c r="BJ154" i="8"/>
  <c r="BI154" i="8"/>
  <c r="BH154" i="8"/>
  <c r="BG154" i="8"/>
  <c r="BF154" i="8"/>
  <c r="BE154" i="8"/>
  <c r="BD154" i="8"/>
  <c r="BC154" i="8"/>
  <c r="BB154" i="8"/>
  <c r="BA154" i="8"/>
  <c r="AZ154" i="8"/>
  <c r="AY154" i="8"/>
  <c r="AX154" i="8"/>
  <c r="AW154" i="8"/>
  <c r="AV154" i="8"/>
  <c r="AU154" i="8"/>
  <c r="AT154" i="8"/>
  <c r="AS154" i="8"/>
  <c r="AR154" i="8"/>
  <c r="AQ154" i="8"/>
  <c r="AP154" i="8"/>
  <c r="AO154" i="8"/>
  <c r="AN154" i="8"/>
  <c r="AM154" i="8"/>
  <c r="AL154" i="8"/>
  <c r="AK154" i="8"/>
  <c r="AJ154" i="8"/>
  <c r="AI154" i="8"/>
  <c r="AH154" i="8"/>
  <c r="AG154" i="8"/>
  <c r="AF154" i="8"/>
  <c r="AE154" i="8"/>
  <c r="AD154" i="8"/>
  <c r="AC154" i="8"/>
  <c r="AB154" i="8"/>
  <c r="AA154" i="8"/>
  <c r="Z154" i="8"/>
  <c r="Y154" i="8"/>
  <c r="V154" i="8"/>
  <c r="U154" i="8"/>
  <c r="T154" i="8"/>
  <c r="S154" i="8"/>
  <c r="R154" i="8"/>
  <c r="Q154" i="8"/>
  <c r="P154" i="8"/>
  <c r="O154" i="8"/>
  <c r="L154" i="8"/>
  <c r="K154" i="8"/>
  <c r="J154" i="8"/>
  <c r="I154" i="8"/>
  <c r="H154" i="8"/>
  <c r="G154" i="8"/>
  <c r="H53" i="4"/>
  <c r="J53" i="4" s="1"/>
  <c r="G53" i="4"/>
  <c r="H52" i="4"/>
  <c r="G52" i="4"/>
  <c r="BP150" i="8"/>
  <c r="BP149" i="8" s="1"/>
  <c r="BO150" i="8"/>
  <c r="BO149" i="8" s="1"/>
  <c r="BL150" i="8"/>
  <c r="BL149" i="8" s="1"/>
  <c r="BK150" i="8"/>
  <c r="BK149" i="8" s="1"/>
  <c r="BJ150" i="8"/>
  <c r="BJ149" i="8" s="1"/>
  <c r="BI150" i="8"/>
  <c r="BI149" i="8" s="1"/>
  <c r="BH150" i="8"/>
  <c r="BH149" i="8" s="1"/>
  <c r="BG150" i="8"/>
  <c r="BG149" i="8" s="1"/>
  <c r="BF150" i="8"/>
  <c r="BF149" i="8" s="1"/>
  <c r="BE150" i="8"/>
  <c r="BE149" i="8" s="1"/>
  <c r="BD150" i="8"/>
  <c r="BD149" i="8" s="1"/>
  <c r="BC150" i="8"/>
  <c r="BC149" i="8" s="1"/>
  <c r="BB150" i="8"/>
  <c r="BB149" i="8" s="1"/>
  <c r="BA150" i="8"/>
  <c r="BA149" i="8" s="1"/>
  <c r="AZ150" i="8"/>
  <c r="AZ149" i="8" s="1"/>
  <c r="AY150" i="8"/>
  <c r="AY149" i="8" s="1"/>
  <c r="AX150" i="8"/>
  <c r="AX149" i="8" s="1"/>
  <c r="AW150" i="8"/>
  <c r="AW149" i="8" s="1"/>
  <c r="AV150" i="8"/>
  <c r="AV149" i="8" s="1"/>
  <c r="AU150" i="8"/>
  <c r="AU149" i="8" s="1"/>
  <c r="AT150" i="8"/>
  <c r="AT149" i="8" s="1"/>
  <c r="AS150" i="8"/>
  <c r="AS149" i="8" s="1"/>
  <c r="AR150" i="8"/>
  <c r="AR149" i="8" s="1"/>
  <c r="AQ150" i="8"/>
  <c r="AQ149" i="8" s="1"/>
  <c r="AP150" i="8"/>
  <c r="AP149" i="8" s="1"/>
  <c r="AO150" i="8"/>
  <c r="AO149" i="8" s="1"/>
  <c r="AN150" i="8"/>
  <c r="AN149" i="8" s="1"/>
  <c r="AM150" i="8"/>
  <c r="AM149" i="8" s="1"/>
  <c r="AL150" i="8"/>
  <c r="AL149" i="8" s="1"/>
  <c r="AK150" i="8"/>
  <c r="AK149" i="8" s="1"/>
  <c r="AJ150" i="8"/>
  <c r="AJ149" i="8" s="1"/>
  <c r="AI150" i="8"/>
  <c r="AI149" i="8" s="1"/>
  <c r="AH150" i="8"/>
  <c r="AH149" i="8" s="1"/>
  <c r="AG150" i="8"/>
  <c r="AG149" i="8" s="1"/>
  <c r="AF150" i="8"/>
  <c r="AF149" i="8" s="1"/>
  <c r="AE150" i="8"/>
  <c r="AE149" i="8" s="1"/>
  <c r="AD150" i="8"/>
  <c r="AD149" i="8" s="1"/>
  <c r="AC150" i="8"/>
  <c r="AC149" i="8" s="1"/>
  <c r="AB150" i="8"/>
  <c r="AB149" i="8" s="1"/>
  <c r="AA150" i="8"/>
  <c r="AA149" i="8" s="1"/>
  <c r="Z150" i="8"/>
  <c r="Z149" i="8" s="1"/>
  <c r="Y150" i="8"/>
  <c r="Y149" i="8" s="1"/>
  <c r="X150" i="8"/>
  <c r="X149" i="8" s="1"/>
  <c r="W150" i="8"/>
  <c r="W149" i="8" s="1"/>
  <c r="V150" i="8"/>
  <c r="V149" i="8" s="1"/>
  <c r="U150" i="8"/>
  <c r="U149" i="8" s="1"/>
  <c r="T150" i="8"/>
  <c r="T149" i="8" s="1"/>
  <c r="S150" i="8"/>
  <c r="S149" i="8" s="1"/>
  <c r="R150" i="8"/>
  <c r="R149" i="8" s="1"/>
  <c r="Q150" i="8"/>
  <c r="Q149" i="8" s="1"/>
  <c r="P150" i="8"/>
  <c r="P149" i="8" s="1"/>
  <c r="O150" i="8"/>
  <c r="O149" i="8" s="1"/>
  <c r="N150" i="8"/>
  <c r="N149" i="8" s="1"/>
  <c r="M149" i="8"/>
  <c r="J150" i="8"/>
  <c r="J149" i="8" s="1"/>
  <c r="I150" i="8"/>
  <c r="I149" i="8" s="1"/>
  <c r="H149" i="8"/>
  <c r="G48" i="4"/>
  <c r="G47" i="4"/>
  <c r="G46" i="4"/>
  <c r="G45" i="4"/>
  <c r="BP144" i="8"/>
  <c r="BO144" i="8"/>
  <c r="BL144" i="8"/>
  <c r="BL18" i="8" s="1"/>
  <c r="BK144" i="8"/>
  <c r="BJ144" i="8"/>
  <c r="BI144" i="8"/>
  <c r="BH144" i="8"/>
  <c r="BG144" i="8"/>
  <c r="BF144" i="8"/>
  <c r="BE144" i="8"/>
  <c r="BD144" i="8"/>
  <c r="BC144" i="8"/>
  <c r="BB144" i="8"/>
  <c r="BA144" i="8"/>
  <c r="AZ144" i="8"/>
  <c r="AY144" i="8"/>
  <c r="AX144" i="8"/>
  <c r="AW144" i="8"/>
  <c r="AV144" i="8"/>
  <c r="AU144" i="8"/>
  <c r="AT144" i="8"/>
  <c r="AS144" i="8"/>
  <c r="AR144" i="8"/>
  <c r="AQ144" i="8"/>
  <c r="AP144" i="8"/>
  <c r="AO144" i="8"/>
  <c r="AN144" i="8"/>
  <c r="AN18" i="8" s="1"/>
  <c r="AM144" i="8"/>
  <c r="AL144" i="8"/>
  <c r="AL18" i="8" s="1"/>
  <c r="AK144" i="8"/>
  <c r="AJ144" i="8"/>
  <c r="AJ18" i="8" s="1"/>
  <c r="AI144" i="8"/>
  <c r="AH144" i="8"/>
  <c r="AH18" i="8" s="1"/>
  <c r="AG144" i="8"/>
  <c r="AF144" i="8"/>
  <c r="AF18" i="8" s="1"/>
  <c r="AE144" i="8"/>
  <c r="AD144" i="8"/>
  <c r="AD18" i="8" s="1"/>
  <c r="AC144" i="8"/>
  <c r="AB144" i="8"/>
  <c r="AB18" i="8" s="1"/>
  <c r="AA144" i="8"/>
  <c r="Z144" i="8"/>
  <c r="Z18" i="8" s="1"/>
  <c r="Y144" i="8"/>
  <c r="X144" i="8"/>
  <c r="X18" i="8" s="1"/>
  <c r="W144" i="8"/>
  <c r="V144" i="8"/>
  <c r="V18" i="8" s="1"/>
  <c r="U144" i="8"/>
  <c r="T144" i="8"/>
  <c r="T18" i="8" s="1"/>
  <c r="S144" i="8"/>
  <c r="R144" i="8"/>
  <c r="R18" i="8" s="1"/>
  <c r="Q144" i="8"/>
  <c r="O144" i="8"/>
  <c r="M144" i="8"/>
  <c r="I144" i="8"/>
  <c r="G144" i="8"/>
  <c r="I142" i="8"/>
  <c r="BP142" i="8"/>
  <c r="BO142" i="8"/>
  <c r="BL142" i="8"/>
  <c r="BK142" i="8"/>
  <c r="BJ142" i="8"/>
  <c r="BI142" i="8"/>
  <c r="BH142" i="8"/>
  <c r="BG142" i="8"/>
  <c r="BF142" i="8"/>
  <c r="BE142" i="8"/>
  <c r="BD142" i="8"/>
  <c r="BC142" i="8"/>
  <c r="BB142" i="8"/>
  <c r="BA142" i="8"/>
  <c r="AZ142" i="8"/>
  <c r="AY142" i="8"/>
  <c r="AX142" i="8"/>
  <c r="AW142" i="8"/>
  <c r="AV142" i="8"/>
  <c r="AU142" i="8"/>
  <c r="AT142" i="8"/>
  <c r="AS142" i="8"/>
  <c r="AR142" i="8"/>
  <c r="AQ142" i="8"/>
  <c r="AP142" i="8"/>
  <c r="AO142" i="8"/>
  <c r="AN142" i="8"/>
  <c r="AM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H41" i="4"/>
  <c r="G41" i="4"/>
  <c r="I41" i="4" s="1"/>
  <c r="H40" i="4"/>
  <c r="BP130" i="8"/>
  <c r="BO130" i="8"/>
  <c r="BL130" i="8"/>
  <c r="BK130" i="8"/>
  <c r="BJ130" i="8"/>
  <c r="BI130" i="8"/>
  <c r="BH130" i="8"/>
  <c r="BG130" i="8"/>
  <c r="BF130" i="8"/>
  <c r="BE130" i="8"/>
  <c r="BD130" i="8"/>
  <c r="BC130" i="8"/>
  <c r="BB130" i="8"/>
  <c r="BA130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H38" i="4"/>
  <c r="G38" i="4"/>
  <c r="H37" i="4"/>
  <c r="G37" i="4"/>
  <c r="H36" i="4"/>
  <c r="G35" i="4"/>
  <c r="BP125" i="8"/>
  <c r="BO125" i="8"/>
  <c r="BL125" i="8"/>
  <c r="BK125" i="8"/>
  <c r="BJ125" i="8"/>
  <c r="BI125" i="8"/>
  <c r="BH125" i="8"/>
  <c r="BG125" i="8"/>
  <c r="BF125" i="8"/>
  <c r="BE125" i="8"/>
  <c r="BD125" i="8"/>
  <c r="BC125" i="8"/>
  <c r="BB125" i="8"/>
  <c r="BA125" i="8"/>
  <c r="AZ125" i="8"/>
  <c r="AY125" i="8"/>
  <c r="AX125" i="8"/>
  <c r="AW125" i="8"/>
  <c r="AV125" i="8"/>
  <c r="AU125" i="8"/>
  <c r="AT125" i="8"/>
  <c r="AS125" i="8"/>
  <c r="AR125" i="8"/>
  <c r="AQ125" i="8"/>
  <c r="AP125" i="8"/>
  <c r="AO125" i="8"/>
  <c r="AN125" i="8"/>
  <c r="AM125" i="8"/>
  <c r="AL125" i="8"/>
  <c r="AK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H32" i="4"/>
  <c r="G32" i="4"/>
  <c r="BP119" i="8"/>
  <c r="BP116" i="8" s="1"/>
  <c r="BO119" i="8"/>
  <c r="BL119" i="8"/>
  <c r="BL116" i="8" s="1"/>
  <c r="BK119" i="8"/>
  <c r="BK116" i="8" s="1"/>
  <c r="BJ119" i="8"/>
  <c r="BJ116" i="8" s="1"/>
  <c r="BI119" i="8"/>
  <c r="BI116" i="8" s="1"/>
  <c r="BH119" i="8"/>
  <c r="BH116" i="8" s="1"/>
  <c r="BG119" i="8"/>
  <c r="BG116" i="8" s="1"/>
  <c r="BF119" i="8"/>
  <c r="BF116" i="8" s="1"/>
  <c r="BE119" i="8"/>
  <c r="BE116" i="8" s="1"/>
  <c r="BD119" i="8"/>
  <c r="BD116" i="8" s="1"/>
  <c r="BC119" i="8"/>
  <c r="BC116" i="8" s="1"/>
  <c r="BB119" i="8"/>
  <c r="BB116" i="8" s="1"/>
  <c r="BA119" i="8"/>
  <c r="BA116" i="8" s="1"/>
  <c r="AZ119" i="8"/>
  <c r="AZ116" i="8" s="1"/>
  <c r="AY119" i="8"/>
  <c r="AY116" i="8" s="1"/>
  <c r="AX119" i="8"/>
  <c r="AX116" i="8" s="1"/>
  <c r="AW119" i="8"/>
  <c r="AW116" i="8" s="1"/>
  <c r="AV119" i="8"/>
  <c r="AV116" i="8" s="1"/>
  <c r="AU119" i="8"/>
  <c r="AU116" i="8" s="1"/>
  <c r="AT119" i="8"/>
  <c r="AT116" i="8" s="1"/>
  <c r="AS119" i="8"/>
  <c r="AS116" i="8" s="1"/>
  <c r="AR119" i="8"/>
  <c r="AR116" i="8" s="1"/>
  <c r="AQ119" i="8"/>
  <c r="AQ116" i="8" s="1"/>
  <c r="AP119" i="8"/>
  <c r="AP116" i="8" s="1"/>
  <c r="AO119" i="8"/>
  <c r="AN119" i="8"/>
  <c r="AN116" i="8" s="1"/>
  <c r="AM119" i="8"/>
  <c r="AM116" i="8" s="1"/>
  <c r="AL119" i="8"/>
  <c r="AL116" i="8" s="1"/>
  <c r="AK119" i="8"/>
  <c r="AK116" i="8" s="1"/>
  <c r="AJ119" i="8"/>
  <c r="AJ116" i="8" s="1"/>
  <c r="AI119" i="8"/>
  <c r="AI116" i="8" s="1"/>
  <c r="AH119" i="8"/>
  <c r="AH116" i="8" s="1"/>
  <c r="AG119" i="8"/>
  <c r="AG116" i="8" s="1"/>
  <c r="AF119" i="8"/>
  <c r="AF116" i="8" s="1"/>
  <c r="AE119" i="8"/>
  <c r="AE116" i="8" s="1"/>
  <c r="AD119" i="8"/>
  <c r="AD116" i="8" s="1"/>
  <c r="AC119" i="8"/>
  <c r="AC116" i="8" s="1"/>
  <c r="AB119" i="8"/>
  <c r="AB116" i="8" s="1"/>
  <c r="AA119" i="8"/>
  <c r="AA116" i="8" s="1"/>
  <c r="Z119" i="8"/>
  <c r="Z116" i="8" s="1"/>
  <c r="Y119" i="8"/>
  <c r="Y116" i="8" s="1"/>
  <c r="X119" i="8"/>
  <c r="X116" i="8" s="1"/>
  <c r="W119" i="8"/>
  <c r="W116" i="8" s="1"/>
  <c r="V116" i="8"/>
  <c r="U116" i="8"/>
  <c r="T119" i="8"/>
  <c r="T116" i="8" s="1"/>
  <c r="S119" i="8"/>
  <c r="S116" i="8" s="1"/>
  <c r="R119" i="8"/>
  <c r="R116" i="8" s="1"/>
  <c r="Q119" i="8"/>
  <c r="Q116" i="8" s="1"/>
  <c r="P119" i="8"/>
  <c r="P116" i="8" s="1"/>
  <c r="O119" i="8"/>
  <c r="O116" i="8" s="1"/>
  <c r="N119" i="8"/>
  <c r="N116" i="8" s="1"/>
  <c r="M119" i="8"/>
  <c r="M116" i="8" s="1"/>
  <c r="L119" i="8"/>
  <c r="L116" i="8" s="1"/>
  <c r="K119" i="8"/>
  <c r="K116" i="8" s="1"/>
  <c r="J119" i="8"/>
  <c r="J116" i="8" s="1"/>
  <c r="I119" i="8"/>
  <c r="I116" i="8" s="1"/>
  <c r="H116" i="8"/>
  <c r="G119" i="8"/>
  <c r="G116" i="8" s="1"/>
  <c r="H30" i="4"/>
  <c r="G30" i="4"/>
  <c r="I30" i="4" s="1"/>
  <c r="BO116" i="8"/>
  <c r="AO116" i="8"/>
  <c r="H26" i="4"/>
  <c r="G26" i="4"/>
  <c r="P106" i="8"/>
  <c r="P102" i="8" s="1"/>
  <c r="H20" i="4"/>
  <c r="G20" i="4"/>
  <c r="BP106" i="8"/>
  <c r="BP102" i="8" s="1"/>
  <c r="BO106" i="8"/>
  <c r="BO102" i="8" s="1"/>
  <c r="BL102" i="8"/>
  <c r="BK102" i="8"/>
  <c r="BJ106" i="8"/>
  <c r="BJ102" i="8" s="1"/>
  <c r="BI106" i="8"/>
  <c r="BI102" i="8" s="1"/>
  <c r="BH106" i="8"/>
  <c r="BH102" i="8" s="1"/>
  <c r="BG106" i="8"/>
  <c r="BG102" i="8" s="1"/>
  <c r="BF106" i="8"/>
  <c r="BF102" i="8" s="1"/>
  <c r="BE106" i="8"/>
  <c r="BE102" i="8" s="1"/>
  <c r="BD106" i="8"/>
  <c r="BD102" i="8" s="1"/>
  <c r="BC106" i="8"/>
  <c r="BC102" i="8" s="1"/>
  <c r="BB106" i="8"/>
  <c r="BB102" i="8" s="1"/>
  <c r="BA106" i="8"/>
  <c r="BA102" i="8" s="1"/>
  <c r="AZ106" i="8"/>
  <c r="AZ102" i="8" s="1"/>
  <c r="AY106" i="8"/>
  <c r="AY102" i="8" s="1"/>
  <c r="AX106" i="8"/>
  <c r="AX102" i="8" s="1"/>
  <c r="AW106" i="8"/>
  <c r="AW102" i="8" s="1"/>
  <c r="AV106" i="8"/>
  <c r="AV102" i="8" s="1"/>
  <c r="AU106" i="8"/>
  <c r="AU102" i="8" s="1"/>
  <c r="AT106" i="8"/>
  <c r="AT102" i="8" s="1"/>
  <c r="AS106" i="8"/>
  <c r="AS102" i="8" s="1"/>
  <c r="AR106" i="8"/>
  <c r="AR102" i="8" s="1"/>
  <c r="AQ106" i="8"/>
  <c r="AQ102" i="8" s="1"/>
  <c r="AP106" i="8"/>
  <c r="AP102" i="8" s="1"/>
  <c r="AO106" i="8"/>
  <c r="AO102" i="8" s="1"/>
  <c r="AN106" i="8"/>
  <c r="AN102" i="8" s="1"/>
  <c r="AM106" i="8"/>
  <c r="AM102" i="8" s="1"/>
  <c r="AL106" i="8"/>
  <c r="AL102" i="8" s="1"/>
  <c r="AK106" i="8"/>
  <c r="AK102" i="8" s="1"/>
  <c r="AJ106" i="8"/>
  <c r="AJ102" i="8" s="1"/>
  <c r="AI106" i="8"/>
  <c r="AI102" i="8" s="1"/>
  <c r="AH106" i="8"/>
  <c r="AH102" i="8" s="1"/>
  <c r="AG106" i="8"/>
  <c r="AG102" i="8" s="1"/>
  <c r="AF106" i="8"/>
  <c r="AF102" i="8" s="1"/>
  <c r="AE106" i="8"/>
  <c r="AE102" i="8" s="1"/>
  <c r="AD106" i="8"/>
  <c r="AD102" i="8" s="1"/>
  <c r="AC106" i="8"/>
  <c r="AC102" i="8" s="1"/>
  <c r="AB106" i="8"/>
  <c r="AB102" i="8" s="1"/>
  <c r="AA106" i="8"/>
  <c r="AA102" i="8" s="1"/>
  <c r="Z106" i="8"/>
  <c r="Z102" i="8" s="1"/>
  <c r="Y106" i="8"/>
  <c r="Y102" i="8" s="1"/>
  <c r="X106" i="8"/>
  <c r="X102" i="8" s="1"/>
  <c r="W106" i="8"/>
  <c r="W102" i="8" s="1"/>
  <c r="V106" i="8"/>
  <c r="V102" i="8" s="1"/>
  <c r="U106" i="8"/>
  <c r="U102" i="8" s="1"/>
  <c r="T106" i="8"/>
  <c r="T102" i="8" s="1"/>
  <c r="S106" i="8"/>
  <c r="S102" i="8" s="1"/>
  <c r="R106" i="8"/>
  <c r="R102" i="8" s="1"/>
  <c r="Q106" i="8"/>
  <c r="Q102" i="8" s="1"/>
  <c r="N106" i="8"/>
  <c r="N102" i="8" s="1"/>
  <c r="M106" i="8"/>
  <c r="M102" i="8" s="1"/>
  <c r="L106" i="8"/>
  <c r="L102" i="8" s="1"/>
  <c r="K106" i="8"/>
  <c r="K102" i="8" s="1"/>
  <c r="I106" i="8"/>
  <c r="I102" i="8" s="1"/>
  <c r="G106" i="8"/>
  <c r="G102" i="8" s="1"/>
  <c r="G18" i="4"/>
  <c r="H17" i="4"/>
  <c r="H16" i="4"/>
  <c r="G16" i="4"/>
  <c r="O102" i="8"/>
  <c r="G14" i="4"/>
  <c r="F100" i="8"/>
  <c r="G13" i="4"/>
  <c r="H12" i="4"/>
  <c r="G12" i="4"/>
  <c r="G11" i="4"/>
  <c r="H10" i="4"/>
  <c r="G10" i="4"/>
  <c r="H9" i="4"/>
  <c r="G9" i="4"/>
  <c r="H8" i="4"/>
  <c r="G8" i="4"/>
  <c r="H7" i="4"/>
  <c r="G7" i="4"/>
  <c r="N92" i="8"/>
  <c r="H6" i="4"/>
  <c r="G6" i="4"/>
  <c r="BP92" i="8"/>
  <c r="BL92" i="8"/>
  <c r="BK92" i="8"/>
  <c r="BJ92" i="8"/>
  <c r="BI92" i="8"/>
  <c r="BH92" i="8"/>
  <c r="BG92" i="8"/>
  <c r="BF92" i="8"/>
  <c r="BE92" i="8"/>
  <c r="BD92" i="8"/>
  <c r="BC92" i="8"/>
  <c r="BB92" i="8"/>
  <c r="BA92" i="8"/>
  <c r="AZ92" i="8"/>
  <c r="AY92" i="8"/>
  <c r="AX92" i="8"/>
  <c r="AW92" i="8"/>
  <c r="AV92" i="8"/>
  <c r="AU92" i="8"/>
  <c r="AT92" i="8"/>
  <c r="AS92" i="8"/>
  <c r="AR92" i="8"/>
  <c r="AQ92" i="8"/>
  <c r="AP92" i="8"/>
  <c r="AO92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O92" i="8"/>
  <c r="M92" i="8"/>
  <c r="K92" i="8"/>
  <c r="J92" i="8"/>
  <c r="I92" i="8"/>
  <c r="G92" i="8"/>
  <c r="E87" i="8"/>
  <c r="G54" i="3" s="1"/>
  <c r="BP87" i="8"/>
  <c r="BO87" i="8"/>
  <c r="BL87" i="8"/>
  <c r="BK87" i="8"/>
  <c r="BJ87" i="8"/>
  <c r="BI87" i="8"/>
  <c r="BH87" i="8"/>
  <c r="BG87" i="8"/>
  <c r="BF87" i="8"/>
  <c r="BE87" i="8"/>
  <c r="BD87" i="8"/>
  <c r="BC87" i="8"/>
  <c r="BB87" i="8"/>
  <c r="BA87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H54" i="3"/>
  <c r="C19" i="13" s="1"/>
  <c r="BP85" i="8"/>
  <c r="BO85" i="8"/>
  <c r="BL85" i="8"/>
  <c r="BK85" i="8"/>
  <c r="BJ85" i="8"/>
  <c r="BI85" i="8"/>
  <c r="BH85" i="8"/>
  <c r="BG85" i="8"/>
  <c r="BF85" i="8"/>
  <c r="BE85" i="8"/>
  <c r="BD85" i="8"/>
  <c r="BC85" i="8"/>
  <c r="BB85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E85" i="8"/>
  <c r="BP83" i="8"/>
  <c r="BO83" i="8"/>
  <c r="BL83" i="8"/>
  <c r="BK83" i="8"/>
  <c r="BJ83" i="8"/>
  <c r="BI83" i="8"/>
  <c r="BH83" i="8"/>
  <c r="BG83" i="8"/>
  <c r="BF83" i="8"/>
  <c r="BE83" i="8"/>
  <c r="BD83" i="8"/>
  <c r="BC83" i="8"/>
  <c r="BB83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E83" i="8"/>
  <c r="E80" i="8"/>
  <c r="BP80" i="8"/>
  <c r="BO80" i="8"/>
  <c r="BL80" i="8"/>
  <c r="BK80" i="8"/>
  <c r="BJ80" i="8"/>
  <c r="BI80" i="8"/>
  <c r="BH80" i="8"/>
  <c r="BG80" i="8"/>
  <c r="BF80" i="8"/>
  <c r="BE80" i="8"/>
  <c r="BD80" i="8"/>
  <c r="BC80" i="8"/>
  <c r="BB80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E77" i="8"/>
  <c r="BP77" i="8"/>
  <c r="BO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E74" i="8"/>
  <c r="G50" i="3" s="1"/>
  <c r="BP74" i="8"/>
  <c r="BO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H50" i="3"/>
  <c r="C37" i="2" s="1"/>
  <c r="E71" i="8"/>
  <c r="G49" i="3" s="1"/>
  <c r="BP71" i="8"/>
  <c r="BO71" i="8"/>
  <c r="BL71" i="8"/>
  <c r="BK71" i="8"/>
  <c r="BJ71" i="8"/>
  <c r="BI71" i="8"/>
  <c r="BH71" i="8"/>
  <c r="BG71" i="8"/>
  <c r="BF71" i="8"/>
  <c r="BE71" i="8"/>
  <c r="BD71" i="8"/>
  <c r="BC71" i="8"/>
  <c r="BB71" i="8"/>
  <c r="BA71" i="8"/>
  <c r="AZ71" i="8"/>
  <c r="AY71" i="8"/>
  <c r="AX71" i="8"/>
  <c r="AW71" i="8"/>
  <c r="AV71" i="8"/>
  <c r="AU71" i="8"/>
  <c r="AT71" i="8"/>
  <c r="AS71" i="8"/>
  <c r="AR71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H49" i="3"/>
  <c r="E68" i="8"/>
  <c r="G48" i="3" s="1"/>
  <c r="BP68" i="8"/>
  <c r="BO68" i="8"/>
  <c r="BL68" i="8"/>
  <c r="BK68" i="8"/>
  <c r="BJ68" i="8"/>
  <c r="BI68" i="8"/>
  <c r="BH68" i="8"/>
  <c r="BG68" i="8"/>
  <c r="BF68" i="8"/>
  <c r="BE68" i="8"/>
  <c r="BD68" i="8"/>
  <c r="BC68" i="8"/>
  <c r="BB68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H48" i="3"/>
  <c r="C36" i="2" s="1"/>
  <c r="E65" i="8"/>
  <c r="G47" i="3" s="1"/>
  <c r="BP65" i="8"/>
  <c r="BO65" i="8"/>
  <c r="BL65" i="8"/>
  <c r="BK65" i="8"/>
  <c r="BJ65" i="8"/>
  <c r="BI65" i="8"/>
  <c r="BH65" i="8"/>
  <c r="BG65" i="8"/>
  <c r="BF65" i="8"/>
  <c r="BE65" i="8"/>
  <c r="BD65" i="8"/>
  <c r="BC65" i="8"/>
  <c r="BB65" i="8"/>
  <c r="BA65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H47" i="3"/>
  <c r="C34" i="2" s="1"/>
  <c r="E62" i="8"/>
  <c r="G46" i="3" s="1"/>
  <c r="BP62" i="8"/>
  <c r="BO62" i="8"/>
  <c r="BL62" i="8"/>
  <c r="BK62" i="8"/>
  <c r="BJ62" i="8"/>
  <c r="BI62" i="8"/>
  <c r="BH62" i="8"/>
  <c r="BG62" i="8"/>
  <c r="BF62" i="8"/>
  <c r="BE62" i="8"/>
  <c r="BD62" i="8"/>
  <c r="BC62" i="8"/>
  <c r="BB62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H46" i="3"/>
  <c r="C35" i="2" s="1"/>
  <c r="BP59" i="8"/>
  <c r="BO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H45" i="3"/>
  <c r="E59" i="8"/>
  <c r="G45" i="3" s="1"/>
  <c r="BP56" i="8"/>
  <c r="BO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E56" i="8"/>
  <c r="H41" i="3"/>
  <c r="H40" i="3" s="1"/>
  <c r="C17" i="13" s="1"/>
  <c r="G41" i="3"/>
  <c r="G40" i="3" s="1"/>
  <c r="BP52" i="8"/>
  <c r="BO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H39" i="3"/>
  <c r="G39" i="3"/>
  <c r="G36" i="3" s="1"/>
  <c r="BP48" i="8"/>
  <c r="BO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C15" i="13"/>
  <c r="C14" i="13"/>
  <c r="H32" i="3"/>
  <c r="G32" i="3"/>
  <c r="BP40" i="8"/>
  <c r="BO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30" i="3"/>
  <c r="BP37" i="8"/>
  <c r="BO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BP29" i="8"/>
  <c r="BO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J29" i="8"/>
  <c r="I29" i="8"/>
  <c r="H29" i="8"/>
  <c r="G29" i="8"/>
  <c r="E29" i="8"/>
  <c r="H24" i="3"/>
  <c r="C9" i="13" s="1"/>
  <c r="D9" i="13" s="1"/>
  <c r="G24" i="3"/>
  <c r="H23" i="3"/>
  <c r="G23" i="3"/>
  <c r="H22" i="3"/>
  <c r="G22" i="3"/>
  <c r="I22" i="3" s="1"/>
  <c r="E13" i="16" s="1"/>
  <c r="BP22" i="8"/>
  <c r="BO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BP20" i="8"/>
  <c r="BO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E20" i="8"/>
  <c r="G17" i="3"/>
  <c r="H13" i="3"/>
  <c r="G13" i="3"/>
  <c r="I13" i="3" s="1"/>
  <c r="H12" i="3"/>
  <c r="G12" i="3"/>
  <c r="H10" i="3"/>
  <c r="G10" i="3"/>
  <c r="I10" i="3" s="1"/>
  <c r="H9" i="3"/>
  <c r="G9" i="3"/>
  <c r="I9" i="3" s="1"/>
  <c r="H8" i="3"/>
  <c r="G8" i="3"/>
  <c r="H7" i="3"/>
  <c r="G7" i="3"/>
  <c r="H6" i="3"/>
  <c r="G6" i="3"/>
  <c r="BP4" i="8"/>
  <c r="BP3" i="8" s="1"/>
  <c r="BL4" i="8"/>
  <c r="BL3" i="8" s="1"/>
  <c r="BK4" i="8"/>
  <c r="BK3" i="8" s="1"/>
  <c r="BJ4" i="8"/>
  <c r="BI4" i="8"/>
  <c r="BI3" i="8" s="1"/>
  <c r="BH4" i="8"/>
  <c r="BH3" i="8" s="1"/>
  <c r="BG4" i="8"/>
  <c r="BG3" i="8" s="1"/>
  <c r="BF4" i="8"/>
  <c r="BF3" i="8" s="1"/>
  <c r="BE4" i="8"/>
  <c r="BE3" i="8" s="1"/>
  <c r="BD4" i="8"/>
  <c r="BD3" i="8" s="1"/>
  <c r="BC4" i="8"/>
  <c r="BC3" i="8" s="1"/>
  <c r="BB4" i="8"/>
  <c r="BB3" i="8" s="1"/>
  <c r="BA4" i="8"/>
  <c r="BA3" i="8" s="1"/>
  <c r="AZ4" i="8"/>
  <c r="AZ3" i="8" s="1"/>
  <c r="AY4" i="8"/>
  <c r="AY3" i="8" s="1"/>
  <c r="AX4" i="8"/>
  <c r="AX3" i="8" s="1"/>
  <c r="AW4" i="8"/>
  <c r="AW3" i="8" s="1"/>
  <c r="AV4" i="8"/>
  <c r="AV3" i="8" s="1"/>
  <c r="AU4" i="8"/>
  <c r="AU3" i="8" s="1"/>
  <c r="AT4" i="8"/>
  <c r="AT3" i="8" s="1"/>
  <c r="AS4" i="8"/>
  <c r="AS3" i="8" s="1"/>
  <c r="AR4" i="8"/>
  <c r="AR3" i="8" s="1"/>
  <c r="AQ4" i="8"/>
  <c r="AQ3" i="8" s="1"/>
  <c r="AP4" i="8"/>
  <c r="AP3" i="8" s="1"/>
  <c r="AO4" i="8"/>
  <c r="AO3" i="8" s="1"/>
  <c r="AN4" i="8"/>
  <c r="AN3" i="8" s="1"/>
  <c r="AM4" i="8"/>
  <c r="AM3" i="8" s="1"/>
  <c r="AL4" i="8"/>
  <c r="AL3" i="8" s="1"/>
  <c r="AK4" i="8"/>
  <c r="AK3" i="8" s="1"/>
  <c r="AJ4" i="8"/>
  <c r="AJ3" i="8" s="1"/>
  <c r="AI4" i="8"/>
  <c r="AI3" i="8" s="1"/>
  <c r="AH4" i="8"/>
  <c r="AH3" i="8" s="1"/>
  <c r="AG4" i="8"/>
  <c r="AG3" i="8" s="1"/>
  <c r="AF4" i="8"/>
  <c r="AF3" i="8" s="1"/>
  <c r="AE4" i="8"/>
  <c r="AE3" i="8" s="1"/>
  <c r="AD4" i="8"/>
  <c r="AD3" i="8" s="1"/>
  <c r="AC4" i="8"/>
  <c r="AC3" i="8" s="1"/>
  <c r="AB4" i="8"/>
  <c r="AB3" i="8" s="1"/>
  <c r="AA4" i="8"/>
  <c r="AA3" i="8" s="1"/>
  <c r="Z4" i="8"/>
  <c r="Z3" i="8" s="1"/>
  <c r="Y4" i="8"/>
  <c r="Y3" i="8" s="1"/>
  <c r="X4" i="8"/>
  <c r="X3" i="8" s="1"/>
  <c r="W4" i="8"/>
  <c r="W3" i="8" s="1"/>
  <c r="V4" i="8"/>
  <c r="V3" i="8" s="1"/>
  <c r="U4" i="8"/>
  <c r="U3" i="8" s="1"/>
  <c r="T4" i="8"/>
  <c r="T3" i="8" s="1"/>
  <c r="S4" i="8"/>
  <c r="S3" i="8" s="1"/>
  <c r="R4" i="8"/>
  <c r="R3" i="8" s="1"/>
  <c r="Q4" i="8"/>
  <c r="Q3" i="8" s="1"/>
  <c r="P4" i="8"/>
  <c r="P3" i="8" s="1"/>
  <c r="O4" i="8"/>
  <c r="O3" i="8" s="1"/>
  <c r="N4" i="8"/>
  <c r="N3" i="8" s="1"/>
  <c r="M4" i="8"/>
  <c r="M3" i="8" s="1"/>
  <c r="L4" i="8"/>
  <c r="L3" i="8" s="1"/>
  <c r="K4" i="8"/>
  <c r="K3" i="8" s="1"/>
  <c r="J4" i="8"/>
  <c r="J3" i="8" s="1"/>
  <c r="I4" i="8"/>
  <c r="I3" i="8" s="1"/>
  <c r="H4" i="8"/>
  <c r="H3" i="8" s="1"/>
  <c r="G4" i="8"/>
  <c r="G3" i="8" s="1"/>
  <c r="BJ3" i="8"/>
  <c r="G165" i="1"/>
  <c r="G164" i="1"/>
  <c r="G163" i="1"/>
  <c r="G162" i="1"/>
  <c r="G161" i="1"/>
  <c r="F60" i="4"/>
  <c r="E161" i="1"/>
  <c r="E60" i="4" s="1"/>
  <c r="G160" i="1"/>
  <c r="G159" i="1"/>
  <c r="E158" i="1"/>
  <c r="G157" i="1"/>
  <c r="G156" i="1"/>
  <c r="G155" i="1"/>
  <c r="E154" i="1"/>
  <c r="G153" i="1"/>
  <c r="G152" i="1"/>
  <c r="G151" i="1"/>
  <c r="E150" i="1"/>
  <c r="E50" i="4" s="1"/>
  <c r="E81" i="16" s="1"/>
  <c r="G148" i="1"/>
  <c r="G147" i="1"/>
  <c r="G146" i="1"/>
  <c r="G145" i="1"/>
  <c r="E144" i="1"/>
  <c r="G143" i="1"/>
  <c r="F43" i="4"/>
  <c r="F74" i="16" s="1"/>
  <c r="E142" i="1"/>
  <c r="E43" i="4" s="1"/>
  <c r="E74" i="16" s="1"/>
  <c r="G141" i="1"/>
  <c r="G140" i="1"/>
  <c r="G139" i="1"/>
  <c r="G138" i="1"/>
  <c r="G137" i="1"/>
  <c r="G136" i="1"/>
  <c r="G135" i="1"/>
  <c r="G134" i="1"/>
  <c r="G133" i="1"/>
  <c r="G132" i="1"/>
  <c r="G131" i="1"/>
  <c r="E130" i="1"/>
  <c r="G129" i="1"/>
  <c r="G128" i="1"/>
  <c r="G127" i="1"/>
  <c r="G126" i="1"/>
  <c r="E125" i="1"/>
  <c r="G125" i="1" s="1"/>
  <c r="G124" i="1"/>
  <c r="G123" i="1"/>
  <c r="G122" i="1"/>
  <c r="G121" i="1"/>
  <c r="G120" i="1"/>
  <c r="F31" i="4"/>
  <c r="E119" i="1"/>
  <c r="E31" i="4" s="1"/>
  <c r="E62" i="16" s="1"/>
  <c r="G118" i="1"/>
  <c r="G117" i="1"/>
  <c r="G114" i="1"/>
  <c r="G112" i="1"/>
  <c r="G111" i="1"/>
  <c r="G110" i="1"/>
  <c r="G109" i="1"/>
  <c r="E21" i="4"/>
  <c r="G107" i="1"/>
  <c r="E18" i="4"/>
  <c r="E51" i="16" s="1"/>
  <c r="E16" i="4"/>
  <c r="E49" i="16" s="1"/>
  <c r="E14" i="4"/>
  <c r="E13" i="4"/>
  <c r="G99" i="1"/>
  <c r="G98" i="1"/>
  <c r="G97" i="1"/>
  <c r="G96" i="1"/>
  <c r="G95" i="1"/>
  <c r="G94" i="1"/>
  <c r="E6" i="4"/>
  <c r="C131" i="12"/>
  <c r="E87" i="1"/>
  <c r="E54" i="3" s="1"/>
  <c r="E44" i="16" s="1"/>
  <c r="G86" i="1"/>
  <c r="E85" i="1"/>
  <c r="E53" i="3" s="1"/>
  <c r="I53" i="3" s="1"/>
  <c r="G84" i="1"/>
  <c r="E83" i="1"/>
  <c r="E52" i="3" s="1"/>
  <c r="G82" i="1"/>
  <c r="G81" i="1"/>
  <c r="E80" i="1"/>
  <c r="G79" i="1"/>
  <c r="G78" i="1"/>
  <c r="F51" i="3"/>
  <c r="F42" i="16" s="1"/>
  <c r="E77" i="1"/>
  <c r="G76" i="1"/>
  <c r="G75" i="1"/>
  <c r="F50" i="3"/>
  <c r="F41" i="16" s="1"/>
  <c r="E74" i="1"/>
  <c r="E50" i="3" s="1"/>
  <c r="E41" i="16" s="1"/>
  <c r="G73" i="1"/>
  <c r="G72" i="1"/>
  <c r="F49" i="3"/>
  <c r="F40" i="16" s="1"/>
  <c r="E71" i="1"/>
  <c r="E49" i="3" s="1"/>
  <c r="E40" i="16" s="1"/>
  <c r="G70" i="1"/>
  <c r="G69" i="1"/>
  <c r="F48" i="3"/>
  <c r="F39" i="16" s="1"/>
  <c r="E68" i="1"/>
  <c r="E48" i="3" s="1"/>
  <c r="E39" i="16" s="1"/>
  <c r="G67" i="1"/>
  <c r="G66" i="1"/>
  <c r="E65" i="1"/>
  <c r="E47" i="3" s="1"/>
  <c r="E38" i="16" s="1"/>
  <c r="G64" i="1"/>
  <c r="G63" i="1"/>
  <c r="F46" i="3"/>
  <c r="F37" i="16" s="1"/>
  <c r="E62" i="1"/>
  <c r="E46" i="3" s="1"/>
  <c r="E37" i="16" s="1"/>
  <c r="G61" i="1"/>
  <c r="G60" i="1"/>
  <c r="E59" i="1"/>
  <c r="E45" i="3" s="1"/>
  <c r="E36" i="16" s="1"/>
  <c r="G57" i="1"/>
  <c r="E56" i="1"/>
  <c r="E43" i="3" s="1"/>
  <c r="G55" i="1"/>
  <c r="G54" i="1"/>
  <c r="G53" i="1"/>
  <c r="E52" i="1"/>
  <c r="G51" i="1"/>
  <c r="G50" i="1"/>
  <c r="G49" i="1"/>
  <c r="E48" i="1"/>
  <c r="G47" i="1"/>
  <c r="G46" i="1"/>
  <c r="G45" i="1"/>
  <c r="G44" i="1"/>
  <c r="G43" i="1"/>
  <c r="G42" i="1"/>
  <c r="G41" i="1"/>
  <c r="C56" i="12"/>
  <c r="E40" i="1"/>
  <c r="G39" i="1"/>
  <c r="G38" i="1"/>
  <c r="E37" i="1"/>
  <c r="E30" i="3" s="1"/>
  <c r="E21" i="16" s="1"/>
  <c r="E91" i="16" s="1"/>
  <c r="G36" i="1"/>
  <c r="G35" i="1"/>
  <c r="G34" i="1"/>
  <c r="G33" i="1"/>
  <c r="E32" i="1"/>
  <c r="E29" i="3" s="1"/>
  <c r="G31" i="1"/>
  <c r="G30" i="1"/>
  <c r="G28" i="1"/>
  <c r="G27" i="1"/>
  <c r="G26" i="1"/>
  <c r="G25" i="1"/>
  <c r="G24" i="1"/>
  <c r="G23" i="1"/>
  <c r="E22" i="1"/>
  <c r="G21" i="1"/>
  <c r="E20" i="1"/>
  <c r="G19" i="1"/>
  <c r="G18" i="1"/>
  <c r="E17" i="1"/>
  <c r="G15" i="1"/>
  <c r="G14" i="1"/>
  <c r="G13" i="1"/>
  <c r="G11" i="1"/>
  <c r="G10" i="1"/>
  <c r="G9" i="1"/>
  <c r="G8" i="1"/>
  <c r="G7" i="1"/>
  <c r="E6" i="3"/>
  <c r="I24" i="3" l="1"/>
  <c r="E15" i="16" s="1"/>
  <c r="AB91" i="8"/>
  <c r="L58" i="8"/>
  <c r="H58" i="8"/>
  <c r="N58" i="8"/>
  <c r="J58" i="8"/>
  <c r="AM58" i="8"/>
  <c r="M115" i="8"/>
  <c r="M113" i="8" s="1"/>
  <c r="M17" i="8" s="1"/>
  <c r="M16" i="8" s="1"/>
  <c r="BO91" i="8"/>
  <c r="E143" i="8"/>
  <c r="E142" i="8" s="1"/>
  <c r="G43" i="4" s="1"/>
  <c r="I43" i="4" s="1"/>
  <c r="E80" i="16"/>
  <c r="AA91" i="8"/>
  <c r="BK91" i="8"/>
  <c r="G150" i="1"/>
  <c r="BC58" i="8"/>
  <c r="BK58" i="8"/>
  <c r="Q91" i="8"/>
  <c r="Y91" i="8"/>
  <c r="AG91" i="8"/>
  <c r="AO91" i="8"/>
  <c r="AW91" i="8"/>
  <c r="BE91" i="8"/>
  <c r="AH115" i="8"/>
  <c r="AH113" i="8" s="1"/>
  <c r="AH17" i="8" s="1"/>
  <c r="AH16" i="8" s="1"/>
  <c r="AX115" i="8"/>
  <c r="AX113" i="8" s="1"/>
  <c r="I52" i="4"/>
  <c r="F65" i="16"/>
  <c r="F70" i="16"/>
  <c r="AP58" i="8"/>
  <c r="E150" i="8"/>
  <c r="G50" i="4" s="1"/>
  <c r="I50" i="4" s="1"/>
  <c r="AH58" i="8"/>
  <c r="AG115" i="8"/>
  <c r="AG113" i="8" s="1"/>
  <c r="U91" i="8"/>
  <c r="AS91" i="8"/>
  <c r="BA91" i="8"/>
  <c r="V58" i="8"/>
  <c r="BB91" i="8"/>
  <c r="AU91" i="8"/>
  <c r="BO115" i="8"/>
  <c r="BO113" i="8" s="1"/>
  <c r="BO17" i="8" s="1"/>
  <c r="BO16" i="8" s="1"/>
  <c r="Y115" i="8"/>
  <c r="Y113" i="8" s="1"/>
  <c r="BE115" i="8"/>
  <c r="BE113" i="8" s="1"/>
  <c r="BE17" i="8" s="1"/>
  <c r="BE16" i="8" s="1"/>
  <c r="F150" i="8"/>
  <c r="F149" i="8" s="1"/>
  <c r="G149" i="8"/>
  <c r="N91" i="8"/>
  <c r="I91" i="8"/>
  <c r="O91" i="8"/>
  <c r="G91" i="8"/>
  <c r="P58" i="8"/>
  <c r="O115" i="8"/>
  <c r="O113" i="8" s="1"/>
  <c r="F101" i="8"/>
  <c r="H14" i="4" s="1"/>
  <c r="I59" i="4"/>
  <c r="E90" i="16"/>
  <c r="E88" i="16" s="1"/>
  <c r="J59" i="4"/>
  <c r="F90" i="16"/>
  <c r="F88" i="16" s="1"/>
  <c r="J55" i="4"/>
  <c r="F86" i="16"/>
  <c r="I56" i="4"/>
  <c r="E87" i="16"/>
  <c r="J56" i="4"/>
  <c r="F87" i="16"/>
  <c r="I55" i="4"/>
  <c r="E86" i="16"/>
  <c r="I53" i="4"/>
  <c r="F6" i="2"/>
  <c r="F77" i="16"/>
  <c r="I47" i="4"/>
  <c r="E78" i="16" s="1"/>
  <c r="F5" i="2"/>
  <c r="F76" i="16"/>
  <c r="F8" i="2"/>
  <c r="F78" i="16"/>
  <c r="E70" i="16"/>
  <c r="E65" i="16"/>
  <c r="F62" i="16"/>
  <c r="F59" i="16" s="1"/>
  <c r="E59" i="16"/>
  <c r="E54" i="16"/>
  <c r="E52" i="16" s="1"/>
  <c r="E48" i="16" s="1"/>
  <c r="I9" i="4"/>
  <c r="I12" i="4"/>
  <c r="I52" i="3"/>
  <c r="E43" i="16"/>
  <c r="I43" i="3"/>
  <c r="E34" i="16"/>
  <c r="I42" i="3"/>
  <c r="E33" i="16"/>
  <c r="E31" i="16" s="1"/>
  <c r="J42" i="3"/>
  <c r="F33" i="16"/>
  <c r="F31" i="16" s="1"/>
  <c r="J38" i="3"/>
  <c r="F29" i="16"/>
  <c r="I38" i="3"/>
  <c r="E29" i="16"/>
  <c r="E27" i="16" s="1"/>
  <c r="J37" i="3"/>
  <c r="F28" i="16"/>
  <c r="E31" i="3"/>
  <c r="I29" i="3"/>
  <c r="E20" i="16"/>
  <c r="I28" i="3"/>
  <c r="E19" i="16"/>
  <c r="J28" i="3"/>
  <c r="F19" i="16"/>
  <c r="I27" i="3"/>
  <c r="E18" i="16"/>
  <c r="E18" i="3"/>
  <c r="E10" i="16"/>
  <c r="E9" i="16" s="1"/>
  <c r="J19" i="3"/>
  <c r="J18" i="3" s="1"/>
  <c r="F10" i="16"/>
  <c r="F9" i="16" s="1"/>
  <c r="I12" i="3"/>
  <c r="I13" i="4"/>
  <c r="E154" i="8"/>
  <c r="I50" i="3"/>
  <c r="I54" i="3"/>
  <c r="I48" i="3"/>
  <c r="I49" i="3"/>
  <c r="I14" i="4"/>
  <c r="E161" i="8"/>
  <c r="G60" i="4" s="1"/>
  <c r="I60" i="4" s="1"/>
  <c r="BB58" i="8"/>
  <c r="AE58" i="8"/>
  <c r="W58" i="8"/>
  <c r="M91" i="8"/>
  <c r="BI91" i="8"/>
  <c r="AD91" i="8"/>
  <c r="AH91" i="8"/>
  <c r="AL91" i="8"/>
  <c r="AP91" i="8"/>
  <c r="AT91" i="8"/>
  <c r="BF91" i="8"/>
  <c r="BJ91" i="8"/>
  <c r="BP91" i="8"/>
  <c r="R115" i="8"/>
  <c r="R113" i="8" s="1"/>
  <c r="AP115" i="8"/>
  <c r="AP113" i="8" s="1"/>
  <c r="AP17" i="8" s="1"/>
  <c r="AP16" i="8" s="1"/>
  <c r="BP115" i="8"/>
  <c r="BP113" i="8" s="1"/>
  <c r="BP17" i="8" s="1"/>
  <c r="J144" i="8"/>
  <c r="J18" i="8" s="1"/>
  <c r="AT58" i="8"/>
  <c r="BP58" i="8"/>
  <c r="AX91" i="8"/>
  <c r="AE91" i="8"/>
  <c r="W115" i="8"/>
  <c r="W113" i="8" s="1"/>
  <c r="AE115" i="8"/>
  <c r="AE113" i="8" s="1"/>
  <c r="AM115" i="8"/>
  <c r="AM113" i="8" s="1"/>
  <c r="AU115" i="8"/>
  <c r="AU113" i="8" s="1"/>
  <c r="AU17" i="8" s="1"/>
  <c r="AU16" i="8" s="1"/>
  <c r="BC115" i="8"/>
  <c r="BC113" i="8" s="1"/>
  <c r="BC17" i="8" s="1"/>
  <c r="BC16" i="8" s="1"/>
  <c r="BG115" i="8"/>
  <c r="BG113" i="8" s="1"/>
  <c r="BG17" i="8" s="1"/>
  <c r="BG16" i="8" s="1"/>
  <c r="BK115" i="8"/>
  <c r="BK113" i="8" s="1"/>
  <c r="E37" i="8"/>
  <c r="G30" i="3" s="1"/>
  <c r="I30" i="3" s="1"/>
  <c r="E52" i="8"/>
  <c r="T91" i="8"/>
  <c r="X91" i="8"/>
  <c r="AF91" i="8"/>
  <c r="AN91" i="8"/>
  <c r="AR91" i="8"/>
  <c r="AV91" i="8"/>
  <c r="AZ91" i="8"/>
  <c r="BD91" i="8"/>
  <c r="BL91" i="8"/>
  <c r="H144" i="8"/>
  <c r="H18" i="8" s="1"/>
  <c r="E158" i="8"/>
  <c r="J9" i="4"/>
  <c r="J8" i="3"/>
  <c r="J10" i="3"/>
  <c r="J41" i="4"/>
  <c r="E20" i="3"/>
  <c r="G5" i="1"/>
  <c r="G59" i="1"/>
  <c r="I7" i="3"/>
  <c r="I23" i="3"/>
  <c r="E14" i="16" s="1"/>
  <c r="I8" i="4"/>
  <c r="I10" i="4"/>
  <c r="J12" i="4"/>
  <c r="I32" i="4"/>
  <c r="G62" i="1"/>
  <c r="G65" i="1"/>
  <c r="G100" i="1"/>
  <c r="E106" i="1"/>
  <c r="E102" i="1" s="1"/>
  <c r="G102" i="1" s="1"/>
  <c r="E116" i="1"/>
  <c r="G116" i="1" s="1"/>
  <c r="J8" i="4"/>
  <c r="J10" i="4"/>
  <c r="I37" i="4"/>
  <c r="E34" i="4"/>
  <c r="G70" i="14"/>
  <c r="I115" i="8"/>
  <c r="I113" i="8" s="1"/>
  <c r="F31" i="3"/>
  <c r="J9" i="3"/>
  <c r="G62" i="14"/>
  <c r="G60" i="14"/>
  <c r="G58" i="14"/>
  <c r="G68" i="14"/>
  <c r="G104" i="1"/>
  <c r="F17" i="4"/>
  <c r="F50" i="16" s="1"/>
  <c r="E11" i="3"/>
  <c r="E5" i="3" s="1"/>
  <c r="E4" i="3" s="1"/>
  <c r="H106" i="8"/>
  <c r="H102" i="8" s="1"/>
  <c r="M58" i="8"/>
  <c r="S58" i="8"/>
  <c r="AA58" i="8"/>
  <c r="AI58" i="8"/>
  <c r="AQ58" i="8"/>
  <c r="AY58" i="8"/>
  <c r="BG58" i="8"/>
  <c r="K91" i="8"/>
  <c r="Z115" i="8"/>
  <c r="Z113" i="8" s="1"/>
  <c r="AT115" i="8"/>
  <c r="AT113" i="8" s="1"/>
  <c r="AT17" i="8" s="1"/>
  <c r="AT16" i="8" s="1"/>
  <c r="G20" i="1"/>
  <c r="G37" i="1"/>
  <c r="G68" i="1"/>
  <c r="G80" i="1"/>
  <c r="G83" i="1"/>
  <c r="E92" i="1"/>
  <c r="G92" i="1" s="1"/>
  <c r="G101" i="1"/>
  <c r="C41" i="2"/>
  <c r="R58" i="8"/>
  <c r="Z58" i="8"/>
  <c r="AD58" i="8"/>
  <c r="AL58" i="8"/>
  <c r="AX58" i="8"/>
  <c r="BF58" i="8"/>
  <c r="BJ58" i="8"/>
  <c r="T58" i="8"/>
  <c r="X58" i="8"/>
  <c r="AB58" i="8"/>
  <c r="AF58" i="8"/>
  <c r="AJ58" i="8"/>
  <c r="AN58" i="8"/>
  <c r="AR58" i="8"/>
  <c r="AV58" i="8"/>
  <c r="AZ58" i="8"/>
  <c r="BD58" i="8"/>
  <c r="BH58" i="8"/>
  <c r="BL58" i="8"/>
  <c r="K58" i="8"/>
  <c r="Q58" i="8"/>
  <c r="Y58" i="8"/>
  <c r="AG58" i="8"/>
  <c r="AO58" i="8"/>
  <c r="AW58" i="8"/>
  <c r="BE58" i="8"/>
  <c r="BO58" i="8"/>
  <c r="AU58" i="8"/>
  <c r="G58" i="8"/>
  <c r="O58" i="8"/>
  <c r="U58" i="8"/>
  <c r="AC58" i="8"/>
  <c r="AK58" i="8"/>
  <c r="AS58" i="8"/>
  <c r="BA58" i="8"/>
  <c r="BI58" i="8"/>
  <c r="AC91" i="8"/>
  <c r="AK91" i="8"/>
  <c r="BF115" i="8"/>
  <c r="BF113" i="8" s="1"/>
  <c r="E4" i="1"/>
  <c r="E3" i="1" s="1"/>
  <c r="G48" i="1"/>
  <c r="I46" i="3"/>
  <c r="G158" i="1"/>
  <c r="I58" i="8"/>
  <c r="L115" i="8"/>
  <c r="L113" i="8" s="1"/>
  <c r="L17" i="8" s="1"/>
  <c r="L16" i="8" s="1"/>
  <c r="C39" i="12"/>
  <c r="C38" i="12" s="1"/>
  <c r="C33" i="12"/>
  <c r="C32" i="12" s="1"/>
  <c r="K115" i="8"/>
  <c r="K113" i="8" s="1"/>
  <c r="K17" i="8" s="1"/>
  <c r="K16" i="8" s="1"/>
  <c r="V115" i="8"/>
  <c r="V113" i="8" s="1"/>
  <c r="V17" i="8" s="1"/>
  <c r="V16" i="8" s="1"/>
  <c r="AO115" i="8"/>
  <c r="AO113" i="8" s="1"/>
  <c r="BB115" i="8"/>
  <c r="BB113" i="8" s="1"/>
  <c r="BB17" i="8" s="1"/>
  <c r="BB16" i="8" s="1"/>
  <c r="T115" i="8"/>
  <c r="T113" i="8" s="1"/>
  <c r="X115" i="8"/>
  <c r="X113" i="8" s="1"/>
  <c r="AB115" i="8"/>
  <c r="AB113" i="8" s="1"/>
  <c r="AF115" i="8"/>
  <c r="AF113" i="8" s="1"/>
  <c r="AJ115" i="8"/>
  <c r="AJ113" i="8" s="1"/>
  <c r="AN115" i="8"/>
  <c r="AN113" i="8" s="1"/>
  <c r="AR115" i="8"/>
  <c r="AR113" i="8" s="1"/>
  <c r="AR17" i="8" s="1"/>
  <c r="AR16" i="8" s="1"/>
  <c r="AV115" i="8"/>
  <c r="AV113" i="8" s="1"/>
  <c r="AV17" i="8" s="1"/>
  <c r="AV16" i="8" s="1"/>
  <c r="AZ115" i="8"/>
  <c r="AZ113" i="8" s="1"/>
  <c r="AZ17" i="8" s="1"/>
  <c r="AZ16" i="8" s="1"/>
  <c r="BD115" i="8"/>
  <c r="BD113" i="8" s="1"/>
  <c r="BD17" i="8" s="1"/>
  <c r="BD16" i="8" s="1"/>
  <c r="BH115" i="8"/>
  <c r="BH113" i="8" s="1"/>
  <c r="BH17" i="8" s="1"/>
  <c r="BH16" i="8" s="1"/>
  <c r="BL115" i="8"/>
  <c r="E15" i="3"/>
  <c r="E57" i="4"/>
  <c r="E73" i="14"/>
  <c r="BP16" i="8"/>
  <c r="R91" i="8"/>
  <c r="V91" i="8"/>
  <c r="Z91" i="8"/>
  <c r="BH91" i="8"/>
  <c r="AJ91" i="8"/>
  <c r="Q115" i="8"/>
  <c r="Q113" i="8" s="1"/>
  <c r="AD115" i="8"/>
  <c r="AD113" i="8" s="1"/>
  <c r="AW115" i="8"/>
  <c r="AW113" i="8" s="1"/>
  <c r="U115" i="8"/>
  <c r="U113" i="8" s="1"/>
  <c r="AC115" i="8"/>
  <c r="AC113" i="8" s="1"/>
  <c r="AK115" i="8"/>
  <c r="AK113" i="8" s="1"/>
  <c r="AK17" i="8" s="1"/>
  <c r="AK16" i="8" s="1"/>
  <c r="AS115" i="8"/>
  <c r="AS113" i="8" s="1"/>
  <c r="AS17" i="8" s="1"/>
  <c r="AS16" i="8" s="1"/>
  <c r="BA115" i="8"/>
  <c r="BA113" i="8" s="1"/>
  <c r="BI115" i="8"/>
  <c r="BI113" i="8" s="1"/>
  <c r="J37" i="4"/>
  <c r="G42" i="4"/>
  <c r="I42" i="4" s="1"/>
  <c r="I19" i="3"/>
  <c r="I18" i="3" s="1"/>
  <c r="F57" i="4"/>
  <c r="F66" i="14"/>
  <c r="C58" i="12" s="1"/>
  <c r="C46" i="12" s="1"/>
  <c r="S91" i="8"/>
  <c r="W91" i="8"/>
  <c r="AI91" i="8"/>
  <c r="AM91" i="8"/>
  <c r="AQ91" i="8"/>
  <c r="AY91" i="8"/>
  <c r="BC91" i="8"/>
  <c r="BG91" i="8"/>
  <c r="H13" i="4"/>
  <c r="J13" i="4" s="1"/>
  <c r="AL115" i="8"/>
  <c r="AL113" i="8" s="1"/>
  <c r="AL17" i="8" s="1"/>
  <c r="AL16" i="8" s="1"/>
  <c r="I38" i="4"/>
  <c r="J142" i="8"/>
  <c r="I45" i="4"/>
  <c r="E76" i="16" s="1"/>
  <c r="P144" i="8"/>
  <c r="P115" i="8" s="1"/>
  <c r="P113" i="8" s="1"/>
  <c r="F36" i="3"/>
  <c r="E44" i="4"/>
  <c r="I58" i="4"/>
  <c r="I57" i="4" s="1"/>
  <c r="G67" i="14"/>
  <c r="H21" i="3"/>
  <c r="C6" i="13" s="1"/>
  <c r="D6" i="13" s="1"/>
  <c r="I18" i="4"/>
  <c r="P92" i="8"/>
  <c r="P91" i="8" s="1"/>
  <c r="J38" i="4"/>
  <c r="J6" i="4"/>
  <c r="F35" i="2"/>
  <c r="G51" i="3"/>
  <c r="G44" i="3" s="1"/>
  <c r="E58" i="8"/>
  <c r="E48" i="8"/>
  <c r="I6" i="3"/>
  <c r="C54" i="12"/>
  <c r="F29" i="3"/>
  <c r="F20" i="16" s="1"/>
  <c r="C172" i="12"/>
  <c r="F43" i="3"/>
  <c r="I47" i="3"/>
  <c r="D41" i="14"/>
  <c r="F41" i="14" s="1"/>
  <c r="C11" i="2"/>
  <c r="J50" i="3"/>
  <c r="G119" i="1"/>
  <c r="C8" i="13"/>
  <c r="J23" i="3"/>
  <c r="F14" i="16" s="1"/>
  <c r="C12" i="13"/>
  <c r="D12" i="13" s="1"/>
  <c r="C16" i="13"/>
  <c r="J39" i="3"/>
  <c r="H36" i="3"/>
  <c r="H51" i="3"/>
  <c r="J51" i="3" s="1"/>
  <c r="AI115" i="8"/>
  <c r="AI113" i="8" s="1"/>
  <c r="AI17" i="8" s="1"/>
  <c r="AI16" i="8" s="1"/>
  <c r="BJ115" i="8"/>
  <c r="BJ113" i="8" s="1"/>
  <c r="E22" i="8"/>
  <c r="E40" i="8"/>
  <c r="G35" i="3"/>
  <c r="I35" i="3" s="1"/>
  <c r="E26" i="16" s="1"/>
  <c r="H92" i="8"/>
  <c r="L92" i="8"/>
  <c r="L91" i="8" s="1"/>
  <c r="C138" i="12"/>
  <c r="F7" i="3"/>
  <c r="J7" i="3" s="1"/>
  <c r="E29" i="1"/>
  <c r="E16" i="1" s="1"/>
  <c r="G16" i="1" s="1"/>
  <c r="G88" i="1"/>
  <c r="I6" i="4"/>
  <c r="E5" i="4"/>
  <c r="F18" i="4"/>
  <c r="F51" i="16" s="1"/>
  <c r="C209" i="12"/>
  <c r="G108" i="1"/>
  <c r="H9" i="13"/>
  <c r="G9" i="13"/>
  <c r="F9" i="13"/>
  <c r="E9" i="13"/>
  <c r="C13" i="13"/>
  <c r="D13" i="13" s="1"/>
  <c r="H35" i="3"/>
  <c r="J35" i="3" s="1"/>
  <c r="F26" i="16" s="1"/>
  <c r="H18" i="4"/>
  <c r="J106" i="8"/>
  <c r="J102" i="8" s="1"/>
  <c r="J91" i="8" s="1"/>
  <c r="AY115" i="8"/>
  <c r="AY113" i="8" s="1"/>
  <c r="AY17" i="8" s="1"/>
  <c r="AY16" i="8" s="1"/>
  <c r="I39" i="3"/>
  <c r="G6" i="1"/>
  <c r="G12" i="1"/>
  <c r="G22" i="1"/>
  <c r="G52" i="1"/>
  <c r="E58" i="1"/>
  <c r="J49" i="3"/>
  <c r="G85" i="1"/>
  <c r="G93" i="1"/>
  <c r="G105" i="1"/>
  <c r="E149" i="1"/>
  <c r="G25" i="3"/>
  <c r="I25" i="3" s="1"/>
  <c r="AA115" i="8"/>
  <c r="AA113" i="8" s="1"/>
  <c r="G142" i="8"/>
  <c r="I17" i="3"/>
  <c r="E8" i="16" s="1"/>
  <c r="C140" i="12"/>
  <c r="F11" i="3"/>
  <c r="C50" i="12"/>
  <c r="F30" i="3"/>
  <c r="F45" i="3"/>
  <c r="F36" i="16" s="1"/>
  <c r="D37" i="14"/>
  <c r="F37" i="14" s="1"/>
  <c r="C21" i="12"/>
  <c r="F52" i="3"/>
  <c r="F43" i="16" s="1"/>
  <c r="C206" i="12"/>
  <c r="F14" i="4"/>
  <c r="C187" i="12"/>
  <c r="C9" i="2"/>
  <c r="C62" i="2" s="1"/>
  <c r="D39" i="14"/>
  <c r="F39" i="14" s="1"/>
  <c r="J46" i="3"/>
  <c r="G71" i="1"/>
  <c r="E51" i="3"/>
  <c r="E42" i="16" s="1"/>
  <c r="E35" i="16" s="1"/>
  <c r="C176" i="12"/>
  <c r="F7" i="4"/>
  <c r="I16" i="4"/>
  <c r="G154" i="1"/>
  <c r="E4" i="8"/>
  <c r="E3" i="8" s="1"/>
  <c r="H25" i="3"/>
  <c r="C33" i="2"/>
  <c r="G56" i="1"/>
  <c r="C185" i="12"/>
  <c r="F16" i="4"/>
  <c r="F49" i="16" s="1"/>
  <c r="E49" i="4"/>
  <c r="J12" i="3"/>
  <c r="F36" i="2"/>
  <c r="I20" i="4"/>
  <c r="AQ115" i="8"/>
  <c r="AQ113" i="8" s="1"/>
  <c r="AQ17" i="8" s="1"/>
  <c r="AQ16" i="8" s="1"/>
  <c r="G32" i="1"/>
  <c r="F47" i="3"/>
  <c r="F38" i="16" s="1"/>
  <c r="D38" i="14"/>
  <c r="F38" i="14" s="1"/>
  <c r="G74" i="1"/>
  <c r="C325" i="12"/>
  <c r="F11" i="4"/>
  <c r="C327" i="12"/>
  <c r="F21" i="4"/>
  <c r="I45" i="3"/>
  <c r="D40" i="14"/>
  <c r="F40" i="14" s="1"/>
  <c r="C10" i="2"/>
  <c r="C63" i="2" s="1"/>
  <c r="J48" i="3"/>
  <c r="G77" i="1"/>
  <c r="G103" i="1"/>
  <c r="G130" i="1"/>
  <c r="G144" i="1"/>
  <c r="F50" i="4"/>
  <c r="C304" i="12"/>
  <c r="F16" i="2"/>
  <c r="F68" i="2" s="1"/>
  <c r="J60" i="4"/>
  <c r="C7" i="13"/>
  <c r="D7" i="13" s="1"/>
  <c r="J22" i="3"/>
  <c r="F13" i="16" s="1"/>
  <c r="C11" i="13"/>
  <c r="D11" i="13" s="1"/>
  <c r="C54" i="14"/>
  <c r="G17" i="4"/>
  <c r="J20" i="4"/>
  <c r="S115" i="8"/>
  <c r="S113" i="8" s="1"/>
  <c r="J26" i="4"/>
  <c r="J24" i="3"/>
  <c r="F15" i="16" s="1"/>
  <c r="I7" i="4"/>
  <c r="I8" i="3"/>
  <c r="E26" i="3"/>
  <c r="I41" i="3"/>
  <c r="I26" i="4"/>
  <c r="H42" i="4"/>
  <c r="J42" i="4" s="1"/>
  <c r="J41" i="3"/>
  <c r="J6" i="3"/>
  <c r="J13" i="3"/>
  <c r="J32" i="3"/>
  <c r="I37" i="3"/>
  <c r="E36" i="3"/>
  <c r="I36" i="3" s="1"/>
  <c r="E19" i="4"/>
  <c r="E15" i="4" s="1"/>
  <c r="F54" i="4"/>
  <c r="D30" i="14" s="1"/>
  <c r="F30" i="14" s="1"/>
  <c r="G33" i="4"/>
  <c r="I33" i="4" s="1"/>
  <c r="E28" i="4"/>
  <c r="E54" i="4"/>
  <c r="F15" i="3"/>
  <c r="J27" i="3"/>
  <c r="E130" i="8"/>
  <c r="I32" i="3"/>
  <c r="E23" i="16" s="1"/>
  <c r="E39" i="4"/>
  <c r="I48" i="4"/>
  <c r="E79" i="16" s="1"/>
  <c r="J61" i="4"/>
  <c r="G59" i="14"/>
  <c r="F61" i="14"/>
  <c r="C93" i="12" s="1"/>
  <c r="C83" i="12" s="1"/>
  <c r="G69" i="14"/>
  <c r="F71" i="14"/>
  <c r="C103" i="12" s="1"/>
  <c r="C101" i="12" s="1"/>
  <c r="G72" i="14"/>
  <c r="I61" i="4"/>
  <c r="E64" i="14"/>
  <c r="G63" i="14"/>
  <c r="J58" i="4"/>
  <c r="F20" i="3"/>
  <c r="E40" i="3"/>
  <c r="I40" i="3" s="1"/>
  <c r="F40" i="3"/>
  <c r="J40" i="3" s="1"/>
  <c r="J52" i="4"/>
  <c r="F15" i="2"/>
  <c r="G142" i="1"/>
  <c r="F39" i="4"/>
  <c r="D33" i="14" s="1"/>
  <c r="F33" i="14" s="1"/>
  <c r="F28" i="4"/>
  <c r="J32" i="4"/>
  <c r="F53" i="3"/>
  <c r="C12" i="2" s="1"/>
  <c r="G40" i="1"/>
  <c r="G21" i="3"/>
  <c r="F14" i="2"/>
  <c r="F34" i="4"/>
  <c r="D34" i="14" s="1"/>
  <c r="F34" i="14" s="1"/>
  <c r="J36" i="4"/>
  <c r="I46" i="4"/>
  <c r="E77" i="16" s="1"/>
  <c r="G44" i="4"/>
  <c r="E144" i="8"/>
  <c r="F44" i="4"/>
  <c r="F13" i="2"/>
  <c r="F7" i="2"/>
  <c r="G17" i="1"/>
  <c r="G57" i="14"/>
  <c r="F57" i="14"/>
  <c r="H5" i="13"/>
  <c r="G5" i="13"/>
  <c r="F5" i="13"/>
  <c r="E5" i="13"/>
  <c r="J17" i="3"/>
  <c r="F8" i="16" s="1"/>
  <c r="G5" i="4"/>
  <c r="I11" i="4"/>
  <c r="E92" i="8"/>
  <c r="G11" i="3"/>
  <c r="H11" i="3"/>
  <c r="C40" i="2" s="1"/>
  <c r="E119" i="8"/>
  <c r="G31" i="4" s="1"/>
  <c r="I31" i="4" s="1"/>
  <c r="E125" i="8"/>
  <c r="H31" i="4"/>
  <c r="J31" i="4" s="1"/>
  <c r="H33" i="4"/>
  <c r="J33" i="4" s="1"/>
  <c r="G51" i="4"/>
  <c r="H51" i="4"/>
  <c r="J40" i="4"/>
  <c r="G40" i="4"/>
  <c r="I35" i="4"/>
  <c r="G36" i="4"/>
  <c r="I36" i="4" s="1"/>
  <c r="H35" i="4"/>
  <c r="J30" i="4"/>
  <c r="G29" i="4"/>
  <c r="H29" i="4"/>
  <c r="F69" i="2"/>
  <c r="J54" i="4" l="1"/>
  <c r="I54" i="4"/>
  <c r="AH89" i="8"/>
  <c r="AT89" i="8"/>
  <c r="V89" i="8"/>
  <c r="G115" i="8"/>
  <c r="G113" i="8" s="1"/>
  <c r="G166" i="8" s="1"/>
  <c r="BC166" i="8"/>
  <c r="BP89" i="8"/>
  <c r="BL17" i="8"/>
  <c r="BL16" i="8" s="1"/>
  <c r="BL113" i="8"/>
  <c r="AT166" i="8"/>
  <c r="AP89" i="8"/>
  <c r="AX166" i="8"/>
  <c r="AX17" i="8"/>
  <c r="AX16" i="8" s="1"/>
  <c r="AX89" i="8" s="1"/>
  <c r="AX168" i="8" s="1"/>
  <c r="BB166" i="8"/>
  <c r="AW166" i="8"/>
  <c r="AW17" i="8"/>
  <c r="AW16" i="8" s="1"/>
  <c r="AW89" i="8" s="1"/>
  <c r="BI166" i="8"/>
  <c r="BI17" i="8"/>
  <c r="BI16" i="8" s="1"/>
  <c r="BI89" i="8" s="1"/>
  <c r="BF166" i="8"/>
  <c r="BF17" i="8"/>
  <c r="BF16" i="8" s="1"/>
  <c r="AZ89" i="8"/>
  <c r="BA166" i="8"/>
  <c r="BA17" i="8"/>
  <c r="BA16" i="8" s="1"/>
  <c r="BE166" i="8"/>
  <c r="AO166" i="8"/>
  <c r="AO17" i="8"/>
  <c r="AO16" i="8" s="1"/>
  <c r="BJ166" i="8"/>
  <c r="BJ17" i="8"/>
  <c r="BJ16" i="8" s="1"/>
  <c r="BJ89" i="8" s="1"/>
  <c r="AV166" i="8"/>
  <c r="BK166" i="8"/>
  <c r="BK17" i="8"/>
  <c r="BK16" i="8" s="1"/>
  <c r="BK89" i="8" s="1"/>
  <c r="AM17" i="8"/>
  <c r="AM16" i="8" s="1"/>
  <c r="AM89" i="8" s="1"/>
  <c r="AN17" i="8"/>
  <c r="AN16" i="8" s="1"/>
  <c r="AN89" i="8" s="1"/>
  <c r="Z17" i="8"/>
  <c r="Z16" i="8" s="1"/>
  <c r="Z89" i="8" s="1"/>
  <c r="AJ17" i="8"/>
  <c r="AJ16" i="8" s="1"/>
  <c r="AJ89" i="8" s="1"/>
  <c r="AG166" i="8"/>
  <c r="AG17" i="8"/>
  <c r="AG16" i="8" s="1"/>
  <c r="AG89" i="8" s="1"/>
  <c r="AE17" i="8"/>
  <c r="AE16" i="8" s="1"/>
  <c r="AE89" i="8" s="1"/>
  <c r="AF17" i="8"/>
  <c r="AF16" i="8" s="1"/>
  <c r="AF89" i="8" s="1"/>
  <c r="R166" i="8"/>
  <c r="R17" i="8"/>
  <c r="Q17" i="8"/>
  <c r="Q16" i="8" s="1"/>
  <c r="Q89" i="8" s="1"/>
  <c r="Q166" i="8"/>
  <c r="I166" i="8"/>
  <c r="I17" i="8"/>
  <c r="I16" i="8" s="1"/>
  <c r="I89" i="8" s="1"/>
  <c r="AC17" i="8"/>
  <c r="AC16" i="8" s="1"/>
  <c r="AC89" i="8" s="1"/>
  <c r="AD17" i="8"/>
  <c r="AD16" i="8" s="1"/>
  <c r="AD89" i="8" s="1"/>
  <c r="AB166" i="8"/>
  <c r="AB17" i="8"/>
  <c r="AB16" i="8" s="1"/>
  <c r="AB89" i="8" s="1"/>
  <c r="AA166" i="8"/>
  <c r="AA17" i="8"/>
  <c r="AA16" i="8" s="1"/>
  <c r="AA89" i="8" s="1"/>
  <c r="P166" i="8"/>
  <c r="P17" i="8"/>
  <c r="P16" i="8" s="1"/>
  <c r="P89" i="8" s="1"/>
  <c r="O166" i="8"/>
  <c r="O17" i="8"/>
  <c r="O16" i="8" s="1"/>
  <c r="O89" i="8" s="1"/>
  <c r="Y166" i="8"/>
  <c r="Y17" i="8"/>
  <c r="Y16" i="8" s="1"/>
  <c r="Y89" i="8" s="1"/>
  <c r="X17" i="8"/>
  <c r="X16" i="8" s="1"/>
  <c r="X89" i="8" s="1"/>
  <c r="W17" i="8"/>
  <c r="W16" i="8" s="1"/>
  <c r="W89" i="8" s="1"/>
  <c r="U17" i="8"/>
  <c r="U16" i="8" s="1"/>
  <c r="U89" i="8" s="1"/>
  <c r="S17" i="8"/>
  <c r="S16" i="8" s="1"/>
  <c r="S89" i="8" s="1"/>
  <c r="T17" i="8"/>
  <c r="T16" i="8" s="1"/>
  <c r="T89" i="8" s="1"/>
  <c r="G17" i="8"/>
  <c r="G16" i="8" s="1"/>
  <c r="G89" i="8" s="1"/>
  <c r="AH166" i="8"/>
  <c r="AL166" i="8"/>
  <c r="AS166" i="8"/>
  <c r="AY89" i="8"/>
  <c r="AC166" i="8"/>
  <c r="AQ89" i="8"/>
  <c r="AR166" i="8"/>
  <c r="G106" i="1"/>
  <c r="K89" i="8"/>
  <c r="BL166" i="8"/>
  <c r="AU166" i="8"/>
  <c r="AE166" i="8"/>
  <c r="BC89" i="8"/>
  <c r="AN166" i="8"/>
  <c r="AL89" i="8"/>
  <c r="BL89" i="8"/>
  <c r="BO166" i="8"/>
  <c r="U166" i="8"/>
  <c r="V166" i="8"/>
  <c r="X166" i="8"/>
  <c r="AR89" i="8"/>
  <c r="S166" i="8"/>
  <c r="AD166" i="8"/>
  <c r="AK89" i="8"/>
  <c r="BH89" i="8"/>
  <c r="BD166" i="8"/>
  <c r="AM166" i="8"/>
  <c r="J115" i="8"/>
  <c r="J113" i="8" s="1"/>
  <c r="AP166" i="8"/>
  <c r="I26" i="3"/>
  <c r="J17" i="4"/>
  <c r="W166" i="8"/>
  <c r="BH166" i="8"/>
  <c r="BD89" i="8"/>
  <c r="BP166" i="8"/>
  <c r="T166" i="8"/>
  <c r="AK166" i="8"/>
  <c r="AV89" i="8"/>
  <c r="AV168" i="8" s="1"/>
  <c r="E17" i="16"/>
  <c r="AY166" i="8"/>
  <c r="F27" i="16"/>
  <c r="E85" i="16"/>
  <c r="Z166" i="8"/>
  <c r="E116" i="8"/>
  <c r="F143" i="8"/>
  <c r="F142" i="8" s="1"/>
  <c r="H43" i="4" s="1"/>
  <c r="BG89" i="8"/>
  <c r="BB89" i="8"/>
  <c r="BA89" i="8"/>
  <c r="H50" i="4"/>
  <c r="J50" i="4" s="1"/>
  <c r="AQ166" i="8"/>
  <c r="AU89" i="8"/>
  <c r="AU168" i="8" s="1"/>
  <c r="BE89" i="8"/>
  <c r="AF166" i="8"/>
  <c r="BG166" i="8"/>
  <c r="I51" i="3"/>
  <c r="I44" i="3" s="1"/>
  <c r="M89" i="8"/>
  <c r="E22" i="16"/>
  <c r="K166" i="8"/>
  <c r="L166" i="8"/>
  <c r="M166" i="8"/>
  <c r="F92" i="8"/>
  <c r="J14" i="4"/>
  <c r="J57" i="4"/>
  <c r="F85" i="16"/>
  <c r="F49" i="4"/>
  <c r="F27" i="4" s="1"/>
  <c r="F25" i="4" s="1"/>
  <c r="F81" i="16"/>
  <c r="F80" i="16" s="1"/>
  <c r="E115" i="1"/>
  <c r="F19" i="4"/>
  <c r="F54" i="16"/>
  <c r="F52" i="16" s="1"/>
  <c r="F48" i="16" s="1"/>
  <c r="F23" i="16"/>
  <c r="F22" i="16" s="1"/>
  <c r="N19" i="3"/>
  <c r="F35" i="16"/>
  <c r="J21" i="3"/>
  <c r="G31" i="3"/>
  <c r="I31" i="3" s="1"/>
  <c r="E75" i="16"/>
  <c r="J43" i="3"/>
  <c r="F34" i="16"/>
  <c r="C15" i="2"/>
  <c r="F21" i="16"/>
  <c r="F91" i="16" s="1"/>
  <c r="J29" i="3"/>
  <c r="J26" i="3" s="1"/>
  <c r="F17" i="16"/>
  <c r="AO89" i="8"/>
  <c r="AS89" i="8"/>
  <c r="AS167" i="8" s="1"/>
  <c r="H91" i="8"/>
  <c r="AI89" i="8"/>
  <c r="AZ166" i="8"/>
  <c r="AZ167" i="8" s="1"/>
  <c r="L89" i="8"/>
  <c r="BF89" i="8"/>
  <c r="BO89" i="8"/>
  <c r="H20" i="3"/>
  <c r="J36" i="3"/>
  <c r="F11" i="2"/>
  <c r="F12" i="2"/>
  <c r="H142" i="8"/>
  <c r="H115" i="8" s="1"/>
  <c r="H113" i="8" s="1"/>
  <c r="C5" i="2"/>
  <c r="F18" i="2"/>
  <c r="F26" i="3"/>
  <c r="F14" i="3" s="1"/>
  <c r="H31" i="3"/>
  <c r="J31" i="3" s="1"/>
  <c r="AJ166" i="8"/>
  <c r="E89" i="1"/>
  <c r="AI166" i="8"/>
  <c r="I44" i="4"/>
  <c r="I17" i="4"/>
  <c r="E91" i="1"/>
  <c r="I5" i="4"/>
  <c r="C452" i="12"/>
  <c r="F5" i="4"/>
  <c r="G34" i="4"/>
  <c r="H39" i="4"/>
  <c r="D26" i="13"/>
  <c r="E11" i="13"/>
  <c r="C38" i="2"/>
  <c r="C64" i="2" s="1"/>
  <c r="H12" i="13"/>
  <c r="G12" i="13"/>
  <c r="F12" i="13"/>
  <c r="E12" i="13"/>
  <c r="G149" i="1"/>
  <c r="J47" i="3"/>
  <c r="C8" i="2"/>
  <c r="J39" i="4"/>
  <c r="E149" i="8"/>
  <c r="C13" i="2"/>
  <c r="C66" i="2" s="1"/>
  <c r="E44" i="3"/>
  <c r="H44" i="3"/>
  <c r="C18" i="13" s="1"/>
  <c r="AU167" i="8"/>
  <c r="G29" i="1"/>
  <c r="F10" i="2"/>
  <c r="F62" i="2" s="1"/>
  <c r="F15" i="4"/>
  <c r="H11" i="4"/>
  <c r="H5" i="4" s="1"/>
  <c r="H7" i="13"/>
  <c r="G7" i="13"/>
  <c r="F7" i="13"/>
  <c r="E7" i="13"/>
  <c r="G58" i="1"/>
  <c r="J52" i="3"/>
  <c r="C6" i="2"/>
  <c r="C58" i="2" s="1"/>
  <c r="J7" i="4"/>
  <c r="F9" i="2"/>
  <c r="F61" i="2" s="1"/>
  <c r="J16" i="4"/>
  <c r="C10" i="13"/>
  <c r="J25" i="3"/>
  <c r="AT167" i="8"/>
  <c r="C7" i="2"/>
  <c r="C59" i="2" s="1"/>
  <c r="J45" i="3"/>
  <c r="F44" i="3"/>
  <c r="H13" i="13"/>
  <c r="G13" i="13"/>
  <c r="F13" i="13"/>
  <c r="E13" i="13"/>
  <c r="F38" i="2"/>
  <c r="J18" i="4"/>
  <c r="E27" i="4"/>
  <c r="E25" i="4" s="1"/>
  <c r="F54" i="3"/>
  <c r="G87" i="1"/>
  <c r="G4" i="1"/>
  <c r="F5" i="3"/>
  <c r="F4" i="3" s="1"/>
  <c r="C45" i="14"/>
  <c r="D32" i="14"/>
  <c r="F32" i="14" s="1"/>
  <c r="J30" i="3"/>
  <c r="E4" i="4"/>
  <c r="E14" i="3"/>
  <c r="E55" i="3" s="1"/>
  <c r="J53" i="3"/>
  <c r="G20" i="3"/>
  <c r="I21" i="3"/>
  <c r="H6" i="13"/>
  <c r="G6" i="13"/>
  <c r="F6" i="13"/>
  <c r="E6" i="13"/>
  <c r="F74" i="14"/>
  <c r="C57" i="12"/>
  <c r="C45" i="12" s="1"/>
  <c r="C449" i="12" s="1"/>
  <c r="G5" i="3"/>
  <c r="G4" i="3" s="1"/>
  <c r="I11" i="3"/>
  <c r="I5" i="3" s="1"/>
  <c r="I4" i="3" s="1"/>
  <c r="J11" i="3"/>
  <c r="C39" i="2"/>
  <c r="H5" i="3"/>
  <c r="H4" i="3" s="1"/>
  <c r="J51" i="4"/>
  <c r="I51" i="4"/>
  <c r="I49" i="4" s="1"/>
  <c r="G49" i="4"/>
  <c r="I40" i="4"/>
  <c r="I39" i="4" s="1"/>
  <c r="G39" i="4"/>
  <c r="J35" i="4"/>
  <c r="J34" i="4" s="1"/>
  <c r="H34" i="4"/>
  <c r="F40" i="2"/>
  <c r="F66" i="2" s="1"/>
  <c r="I34" i="4"/>
  <c r="J29" i="4"/>
  <c r="J28" i="4" s="1"/>
  <c r="H28" i="4"/>
  <c r="I29" i="4"/>
  <c r="I28" i="4" s="1"/>
  <c r="G28" i="4"/>
  <c r="AW168" i="8" l="1"/>
  <c r="V168" i="8"/>
  <c r="AT168" i="8"/>
  <c r="BJ167" i="8"/>
  <c r="BC168" i="8"/>
  <c r="I168" i="8"/>
  <c r="P168" i="8"/>
  <c r="P167" i="8"/>
  <c r="G168" i="8"/>
  <c r="BP168" i="8"/>
  <c r="AP168" i="8"/>
  <c r="BA168" i="8"/>
  <c r="BB168" i="8"/>
  <c r="BP167" i="8"/>
  <c r="BE168" i="8"/>
  <c r="AR167" i="8"/>
  <c r="AO168" i="8"/>
  <c r="BH167" i="8"/>
  <c r="BI168" i="8"/>
  <c r="BH168" i="8"/>
  <c r="BD167" i="8"/>
  <c r="AR168" i="8"/>
  <c r="BJ168" i="8"/>
  <c r="BK167" i="8"/>
  <c r="BL167" i="8"/>
  <c r="BO167" i="8"/>
  <c r="BO168" i="8"/>
  <c r="BL168" i="8"/>
  <c r="AZ168" i="8"/>
  <c r="BI167" i="8"/>
  <c r="AQ168" i="8"/>
  <c r="V167" i="8"/>
  <c r="BF168" i="8"/>
  <c r="AC168" i="8"/>
  <c r="AC167" i="8"/>
  <c r="I167" i="8"/>
  <c r="S168" i="8"/>
  <c r="S167" i="8"/>
  <c r="Z168" i="8"/>
  <c r="Z167" i="8"/>
  <c r="U168" i="8"/>
  <c r="U167" i="8"/>
  <c r="BG167" i="8"/>
  <c r="W168" i="8"/>
  <c r="W167" i="8"/>
  <c r="AA167" i="8"/>
  <c r="AA168" i="8"/>
  <c r="AJ168" i="8"/>
  <c r="AJ167" i="8"/>
  <c r="T167" i="8"/>
  <c r="T168" i="8"/>
  <c r="L167" i="8"/>
  <c r="L168" i="8"/>
  <c r="AY167" i="8"/>
  <c r="K168" i="8"/>
  <c r="K167" i="8"/>
  <c r="Q168" i="8"/>
  <c r="Q167" i="8"/>
  <c r="AX167" i="8"/>
  <c r="G167" i="8"/>
  <c r="Y168" i="8"/>
  <c r="Y167" i="8"/>
  <c r="AB167" i="8"/>
  <c r="AB168" i="8"/>
  <c r="X167" i="8"/>
  <c r="X168" i="8"/>
  <c r="AI168" i="8"/>
  <c r="AI167" i="8"/>
  <c r="M168" i="8"/>
  <c r="M167" i="8"/>
  <c r="O168" i="8"/>
  <c r="O167" i="8"/>
  <c r="AD168" i="8"/>
  <c r="AD167" i="8"/>
  <c r="AE167" i="8"/>
  <c r="AE168" i="8"/>
  <c r="AF168" i="8"/>
  <c r="AF167" i="8"/>
  <c r="AG168" i="8"/>
  <c r="AG167" i="8"/>
  <c r="AH168" i="8"/>
  <c r="AH167" i="8"/>
  <c r="AM168" i="8"/>
  <c r="AN168" i="8"/>
  <c r="AM167" i="8"/>
  <c r="AL167" i="8"/>
  <c r="AK167" i="8"/>
  <c r="AL168" i="8"/>
  <c r="R16" i="8"/>
  <c r="R89" i="8" s="1"/>
  <c r="J166" i="8"/>
  <c r="J17" i="8"/>
  <c r="J16" i="8" s="1"/>
  <c r="J89" i="8" s="1"/>
  <c r="H17" i="8"/>
  <c r="H16" i="8" s="1"/>
  <c r="H89" i="8" s="1"/>
  <c r="H166" i="8"/>
  <c r="BK168" i="8"/>
  <c r="BE167" i="8"/>
  <c r="BF167" i="8"/>
  <c r="BA167" i="8"/>
  <c r="H49" i="4"/>
  <c r="AO167" i="8"/>
  <c r="AV167" i="8"/>
  <c r="BD168" i="8"/>
  <c r="BC167" i="8"/>
  <c r="AN167" i="8"/>
  <c r="AW167" i="8"/>
  <c r="AK168" i="8"/>
  <c r="BB167" i="8"/>
  <c r="AP167" i="8"/>
  <c r="AQ167" i="8"/>
  <c r="E115" i="8"/>
  <c r="E113" i="8" s="1"/>
  <c r="J20" i="3"/>
  <c r="F44" i="2"/>
  <c r="F70" i="2" s="1"/>
  <c r="AY168" i="8"/>
  <c r="E58" i="16"/>
  <c r="E93" i="16" s="1"/>
  <c r="AS168" i="8"/>
  <c r="BG168" i="8"/>
  <c r="J43" i="4"/>
  <c r="F41" i="2"/>
  <c r="F67" i="2" s="1"/>
  <c r="E113" i="1"/>
  <c r="G113" i="1" s="1"/>
  <c r="G115" i="1"/>
  <c r="E57" i="3"/>
  <c r="J49" i="4"/>
  <c r="F75" i="16"/>
  <c r="F58" i="16" s="1"/>
  <c r="F93" i="16" s="1"/>
  <c r="N22" i="3"/>
  <c r="F12" i="16"/>
  <c r="F11" i="16" s="1"/>
  <c r="I20" i="3"/>
  <c r="E12" i="16"/>
  <c r="E11" i="16" s="1"/>
  <c r="J54" i="3"/>
  <c r="F44" i="16"/>
  <c r="F64" i="2"/>
  <c r="C14" i="2"/>
  <c r="C67" i="2" s="1"/>
  <c r="J11" i="4"/>
  <c r="J5" i="4" s="1"/>
  <c r="J44" i="3"/>
  <c r="G91" i="1"/>
  <c r="G27" i="4"/>
  <c r="G25" i="4" s="1"/>
  <c r="I25" i="4" s="1"/>
  <c r="F55" i="3"/>
  <c r="C2" i="15" s="1"/>
  <c r="G3" i="1"/>
  <c r="F4" i="4"/>
  <c r="F62" i="4" s="1"/>
  <c r="C3" i="15" s="1"/>
  <c r="F19" i="2"/>
  <c r="E62" i="4"/>
  <c r="C60" i="2"/>
  <c r="C61" i="2"/>
  <c r="C453" i="12"/>
  <c r="C454" i="12" s="1"/>
  <c r="C3" i="13"/>
  <c r="C65" i="2"/>
  <c r="J5" i="3"/>
  <c r="I27" i="4"/>
  <c r="J168" i="8" l="1"/>
  <c r="J167" i="8"/>
  <c r="H167" i="8"/>
  <c r="H168" i="8"/>
  <c r="R168" i="8"/>
  <c r="R167" i="8"/>
  <c r="E166" i="1"/>
  <c r="G166" i="1" s="1"/>
  <c r="C19" i="2"/>
  <c r="C21" i="2" s="1"/>
  <c r="C2" i="14" s="1"/>
  <c r="C44" i="14" s="1"/>
  <c r="C7" i="15" s="1"/>
  <c r="C4" i="15"/>
  <c r="C12" i="15"/>
  <c r="C13" i="15" s="1"/>
  <c r="G89" i="1"/>
  <c r="C450" i="12"/>
  <c r="C451" i="12" s="1"/>
  <c r="F57" i="3"/>
  <c r="F65" i="4"/>
  <c r="J4" i="3"/>
  <c r="C20" i="2" l="1"/>
  <c r="E167" i="1"/>
  <c r="E168" i="1"/>
  <c r="E65" i="4"/>
  <c r="C6" i="15"/>
  <c r="C9" i="15" s="1"/>
  <c r="C5" i="15"/>
  <c r="C16" i="15"/>
  <c r="C8" i="15"/>
  <c r="C17" i="15" l="1"/>
  <c r="C14" i="15"/>
  <c r="C15" i="15" s="1"/>
  <c r="C18" i="15" s="1"/>
  <c r="C19" i="15" l="1"/>
  <c r="C20" i="15" s="1"/>
  <c r="E18" i="8"/>
  <c r="G16" i="3" s="1"/>
  <c r="I16" i="3" l="1"/>
  <c r="G15" i="3"/>
  <c r="G14" i="3" s="1"/>
  <c r="G55" i="3" s="1"/>
  <c r="E17" i="8"/>
  <c r="E16" i="8" s="1"/>
  <c r="E89" i="8" s="1"/>
  <c r="G57" i="3" l="1"/>
  <c r="E7" i="16"/>
  <c r="E6" i="16" s="1"/>
  <c r="E5" i="16" s="1"/>
  <c r="E45" i="16" s="1"/>
  <c r="I15" i="3"/>
  <c r="I14" i="3" s="1"/>
  <c r="I55" i="3" s="1"/>
  <c r="F148" i="8"/>
  <c r="H48" i="4" s="1"/>
  <c r="F147" i="8"/>
  <c r="H47" i="4" s="1"/>
  <c r="J47" i="4" s="1"/>
  <c r="F146" i="8"/>
  <c r="H46" i="4" s="1"/>
  <c r="C51" i="14" s="1"/>
  <c r="F145" i="8"/>
  <c r="N144" i="8"/>
  <c r="N18" i="8" s="1"/>
  <c r="F144" i="8" l="1"/>
  <c r="F115" i="8" s="1"/>
  <c r="F113" i="8" s="1"/>
  <c r="N115" i="8"/>
  <c r="N113" i="8" s="1"/>
  <c r="N166" i="8" s="1"/>
  <c r="H45" i="4"/>
  <c r="C50" i="14" s="1"/>
  <c r="F33" i="2"/>
  <c r="F59" i="2" s="1"/>
  <c r="C53" i="14"/>
  <c r="J48" i="4"/>
  <c r="F18" i="8"/>
  <c r="N17" i="8"/>
  <c r="N16" i="8" s="1"/>
  <c r="N89" i="8" s="1"/>
  <c r="J46" i="4"/>
  <c r="F32" i="2"/>
  <c r="F58" i="2" s="1"/>
  <c r="F34" i="2"/>
  <c r="F60" i="2" s="1"/>
  <c r="C52" i="14"/>
  <c r="D9" i="14"/>
  <c r="D28" i="14" s="1"/>
  <c r="F28" i="14" s="1"/>
  <c r="F31" i="2" l="1"/>
  <c r="F57" i="2" s="1"/>
  <c r="J45" i="4"/>
  <c r="D7" i="14" s="1"/>
  <c r="D26" i="14" s="1"/>
  <c r="H44" i="4"/>
  <c r="H27" i="4" s="1"/>
  <c r="H25" i="4" s="1"/>
  <c r="N168" i="8"/>
  <c r="N167" i="8"/>
  <c r="H16" i="3"/>
  <c r="F17" i="8"/>
  <c r="F16" i="8" s="1"/>
  <c r="F89" i="8" s="1"/>
  <c r="D8" i="14"/>
  <c r="D27" i="14" s="1"/>
  <c r="F27" i="14" s="1"/>
  <c r="D10" i="14"/>
  <c r="D29" i="14" s="1"/>
  <c r="F29" i="14" s="1"/>
  <c r="J44" i="4" l="1"/>
  <c r="J27" i="4" s="1"/>
  <c r="D27" i="13"/>
  <c r="C4" i="13"/>
  <c r="J16" i="3"/>
  <c r="C31" i="2"/>
  <c r="H15" i="3"/>
  <c r="H14" i="3" s="1"/>
  <c r="H55" i="3" s="1"/>
  <c r="H57" i="3" s="1"/>
  <c r="J25" i="4"/>
  <c r="D25" i="14"/>
  <c r="F25" i="14" s="1"/>
  <c r="F26" i="14"/>
  <c r="C45" i="2" l="1"/>
  <c r="C57" i="2"/>
  <c r="C71" i="2" s="1"/>
  <c r="D4" i="13"/>
  <c r="C20" i="13"/>
  <c r="D36" i="14"/>
  <c r="F36" i="14" s="1"/>
  <c r="J15" i="3"/>
  <c r="F7" i="16"/>
  <c r="F6" i="16" s="1"/>
  <c r="F5" i="16" s="1"/>
  <c r="F45" i="16" s="1"/>
  <c r="F94" i="16" s="1"/>
  <c r="F96" i="16" s="1"/>
  <c r="N16" i="3"/>
  <c r="J14" i="3" l="1"/>
  <c r="G4" i="13"/>
  <c r="G20" i="13" s="1"/>
  <c r="D20" i="13"/>
  <c r="D28" i="13" s="1"/>
  <c r="H4" i="13"/>
  <c r="H20" i="13" s="1"/>
  <c r="E4" i="13"/>
  <c r="E20" i="13" s="1"/>
  <c r="F4" i="13"/>
  <c r="F20" i="13" s="1"/>
  <c r="C49" i="14" l="1"/>
  <c r="D23" i="13"/>
  <c r="J55" i="3"/>
  <c r="K14" i="3" s="1"/>
  <c r="K6" i="3" l="1"/>
  <c r="K4" i="3"/>
  <c r="K34" i="3"/>
  <c r="K39" i="3"/>
  <c r="K43" i="3"/>
  <c r="K29" i="3"/>
  <c r="K13" i="3"/>
  <c r="K44" i="3"/>
  <c r="K27" i="3"/>
  <c r="K28" i="3"/>
  <c r="K36" i="3"/>
  <c r="K31" i="3"/>
  <c r="K52" i="3"/>
  <c r="K54" i="3"/>
  <c r="K20" i="3"/>
  <c r="K8" i="3"/>
  <c r="K55" i="3"/>
  <c r="K24" i="3"/>
  <c r="K35" i="3"/>
  <c r="K50" i="3"/>
  <c r="K32" i="3"/>
  <c r="K37" i="3"/>
  <c r="K23" i="3"/>
  <c r="K10" i="3"/>
  <c r="K33" i="3"/>
  <c r="K47" i="3"/>
  <c r="K9" i="3"/>
  <c r="K25" i="3"/>
  <c r="K26" i="3"/>
  <c r="K11" i="3"/>
  <c r="K18" i="3"/>
  <c r="K12" i="3"/>
  <c r="K41" i="3"/>
  <c r="K22" i="3"/>
  <c r="K7" i="3"/>
  <c r="K5" i="3"/>
  <c r="K42" i="3"/>
  <c r="K51" i="3"/>
  <c r="K49" i="3"/>
  <c r="K38" i="3"/>
  <c r="K45" i="3"/>
  <c r="K17" i="3"/>
  <c r="K40" i="3"/>
  <c r="K19" i="3"/>
  <c r="K48" i="3"/>
  <c r="K46" i="3"/>
  <c r="K53" i="3"/>
  <c r="K21" i="3"/>
  <c r="K30" i="3"/>
  <c r="K16" i="3"/>
  <c r="K15" i="3"/>
  <c r="F110" i="8"/>
  <c r="H22" i="4" s="1"/>
  <c r="J22" i="4" s="1"/>
  <c r="E110" i="8"/>
  <c r="G22" i="4" s="1"/>
  <c r="I22" i="4" s="1"/>
  <c r="BM111" i="8"/>
  <c r="E111" i="8" s="1"/>
  <c r="G23" i="4" s="1"/>
  <c r="I23" i="4" s="1"/>
  <c r="BM109" i="8"/>
  <c r="BM106" i="8" s="1"/>
  <c r="BM102" i="8" s="1"/>
  <c r="BM91" i="8" s="1"/>
  <c r="BM166" i="8" s="1"/>
  <c r="BN109" i="8"/>
  <c r="BN106" i="8" s="1"/>
  <c r="BN112" i="8"/>
  <c r="F112" i="8"/>
  <c r="H24" i="4" s="1"/>
  <c r="BN111" i="8"/>
  <c r="BM112" i="8"/>
  <c r="E112" i="8" s="1"/>
  <c r="G24" i="4" s="1"/>
  <c r="I24" i="4" s="1"/>
  <c r="F109" i="8"/>
  <c r="E109" i="8"/>
  <c r="G21" i="4" s="1"/>
  <c r="BN102" i="8" l="1"/>
  <c r="BN91" i="8" s="1"/>
  <c r="BN166" i="8" s="1"/>
  <c r="BN167" i="8" s="1"/>
  <c r="F106" i="8"/>
  <c r="BM168" i="8"/>
  <c r="BM167" i="8"/>
  <c r="J24" i="4"/>
  <c r="F39" i="2"/>
  <c r="F65" i="2" s="1"/>
  <c r="I21" i="4"/>
  <c r="I19" i="4" s="1"/>
  <c r="I15" i="4" s="1"/>
  <c r="I4" i="4" s="1"/>
  <c r="I62" i="4" s="1"/>
  <c r="G19" i="4"/>
  <c r="G15" i="4" s="1"/>
  <c r="G4" i="4" s="1"/>
  <c r="G62" i="4" s="1"/>
  <c r="F111" i="8"/>
  <c r="H23" i="4" s="1"/>
  <c r="J23" i="4" s="1"/>
  <c r="E106" i="8"/>
  <c r="E102" i="8" s="1"/>
  <c r="E91" i="8" s="1"/>
  <c r="E166" i="8" s="1"/>
  <c r="H21" i="4"/>
  <c r="BN168" i="8" l="1"/>
  <c r="G65" i="4"/>
  <c r="E167" i="8"/>
  <c r="E168" i="8"/>
  <c r="J21" i="4"/>
  <c r="H19" i="4"/>
  <c r="H15" i="4" s="1"/>
  <c r="H4" i="4" s="1"/>
  <c r="H62" i="4" s="1"/>
  <c r="F37" i="2"/>
  <c r="F102" i="8"/>
  <c r="F91" i="8" s="1"/>
  <c r="F166" i="8" s="1"/>
  <c r="J19" i="4" l="1"/>
  <c r="F45" i="2"/>
  <c r="F63" i="2"/>
  <c r="F71" i="2" s="1"/>
  <c r="H65" i="4"/>
  <c r="F167" i="8"/>
  <c r="F168" i="8"/>
  <c r="C47" i="2" l="1"/>
  <c r="C73" i="2" s="1"/>
  <c r="C46" i="2"/>
  <c r="C72" i="2" s="1"/>
  <c r="J15" i="4"/>
  <c r="J4" i="4" l="1"/>
  <c r="J62" i="4" l="1"/>
  <c r="K4" i="4" s="1"/>
  <c r="K16" i="4" l="1"/>
  <c r="K9" i="4"/>
  <c r="K13" i="4"/>
  <c r="K29" i="4"/>
  <c r="K35" i="4"/>
  <c r="K60" i="4"/>
  <c r="K44" i="4"/>
  <c r="K26" i="4"/>
  <c r="K30" i="4"/>
  <c r="K61" i="4"/>
  <c r="K58" i="4"/>
  <c r="K33" i="4"/>
  <c r="K39" i="4"/>
  <c r="K18" i="4"/>
  <c r="K8" i="4"/>
  <c r="K50" i="4"/>
  <c r="K41" i="4"/>
  <c r="K10" i="4"/>
  <c r="K43" i="4"/>
  <c r="K17" i="4"/>
  <c r="K42" i="4"/>
  <c r="K5" i="4"/>
  <c r="K53" i="4"/>
  <c r="K36" i="4"/>
  <c r="K31" i="4"/>
  <c r="K38" i="4"/>
  <c r="K52" i="4"/>
  <c r="K14" i="4"/>
  <c r="K46" i="4"/>
  <c r="K62" i="4"/>
  <c r="K55" i="4"/>
  <c r="K49" i="4"/>
  <c r="K37" i="4"/>
  <c r="K25" i="4"/>
  <c r="K7" i="4"/>
  <c r="K48" i="4"/>
  <c r="K56" i="4"/>
  <c r="K40" i="4"/>
  <c r="K47" i="4"/>
  <c r="K54" i="4"/>
  <c r="K51" i="4"/>
  <c r="K6" i="4"/>
  <c r="K59" i="4"/>
  <c r="K28" i="4"/>
  <c r="K20" i="4"/>
  <c r="K34" i="4"/>
  <c r="K11" i="4"/>
  <c r="K45" i="4"/>
  <c r="K27" i="4"/>
  <c r="K57" i="4"/>
  <c r="K12" i="4"/>
  <c r="K32" i="4"/>
  <c r="K22" i="4"/>
  <c r="K24" i="4"/>
  <c r="K23" i="4"/>
  <c r="K21" i="4"/>
  <c r="K19" i="4"/>
  <c r="K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บันทึกตามที่เบิกจากคลัง 
ตามจำนวนจ้าราชการและลูกจ้างประจำ 
ตามสิทธิที่พึงได้</t>
        </r>
      </text>
    </comment>
    <comment ref="D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D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ASUS</author>
    <author>User</author>
    <author>ANNTY</author>
    <author>Nitro 5</author>
    <author>Acer</author>
    <author>Windows10</author>
  </authors>
  <commentList>
    <comment ref="BO2" authorId="0" shapeId="0" xr:uid="{F87BC58B-0573-4703-847D-A0EDED9B32A7}">
      <text>
        <r>
          <rPr>
            <sz val="9"/>
            <color indexed="81"/>
            <rFont val="Tahoma"/>
            <family val="2"/>
          </rPr>
          <t xml:space="preserve">ข้อมูล ปีงบประมาณ 66 ใช้จริง ณ 25 สค 66
</t>
        </r>
      </text>
    </comment>
    <comment ref="D4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บันทึกตามที่เบิกจากคลัง 
ตามจำนวนจ้าราชการและลูกจ้างประจำ 
ตามสิทธิที่พึงได้</t>
        </r>
      </text>
    </comment>
    <comment ref="D14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D1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BN23" authorId="2" shapeId="0" xr:uid="{FDE4238B-9ECC-4584-819A-55708F2CDD1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1.fix cost 300,000 
2. แผน PP15/ปชก. 401,000
3.คก.สสอ 100,000
4.ค่าจ้าง พกส 30%</t>
        </r>
      </text>
    </comment>
    <comment ref="BO88" authorId="0" shapeId="0" xr:uid="{0ACC1DA5-82C6-49C1-A375-1212CF3F4FE5}">
      <text>
        <r>
          <rPr>
            <b/>
            <sz val="9"/>
            <color indexed="81"/>
            <rFont val="Tahoma"/>
            <family val="2"/>
          </rPr>
          <t xml:space="preserve">ฉ11 พกส/ลจ รพ.สต. ค่าเวชปฏิบัติ เงินเติมต่างๆ จาก รพ. ไม่ว่าจะเป็นค่าจ้างที่ต้องเพิ่ม หรือ อื่นๆ </t>
        </r>
      </text>
    </comment>
    <comment ref="D98" authorId="0" shapeId="0" xr:uid="{A8F7DE1A-3310-499B-A213-66B558668F2F}">
      <text>
        <r>
          <rPr>
            <b/>
            <sz val="9"/>
            <color indexed="81"/>
            <rFont val="Tahoma"/>
            <family val="2"/>
          </rPr>
          <t>เดิมมีค่า 2,468,400 ซึ่งเป็น ฉ11 ของข้าราชการ และจ่ายจากเงินงบประมาณ</t>
        </r>
      </text>
    </comment>
    <comment ref="D102" authorId="0" shapeId="0" xr:uid="{C9BA5002-CF11-4E2A-89A4-F5478F82D117}">
      <text>
        <r>
          <rPr>
            <b/>
            <sz val="9"/>
            <color indexed="81"/>
            <rFont val="Tahoma"/>
            <family val="2"/>
          </rPr>
          <t xml:space="preserve">ลงจำนวนเฉพาะส่วน ลจ/พกส
</t>
        </r>
      </text>
    </comment>
    <comment ref="D108" authorId="0" shapeId="0" xr:uid="{5D830076-B76B-4526-865D-5BE5D29F6F45}">
      <text>
        <r>
          <rPr>
            <b/>
            <sz val="9"/>
            <color indexed="81"/>
            <rFont val="Tahoma"/>
            <family val="2"/>
          </rPr>
          <t>เพิ่มขึ้นจากไฟล์ที่ รพ.สต.ส่งมา</t>
        </r>
      </text>
    </comment>
    <comment ref="BO108" authorId="0" shapeId="0" xr:uid="{B4AFE024-A038-4D2F-9E19-F5F555D2B5A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ลงจำนวนเฉพาะส่วน ลจ/พกส</t>
        </r>
      </text>
    </comment>
    <comment ref="BP108" authorId="0" shapeId="0" xr:uid="{914C7CD6-1551-4E6F-889A-E9C6C130564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ลงจำนวนเฉพาะส่วน ลจ/พกส</t>
        </r>
      </text>
    </comment>
    <comment ref="BO110" authorId="0" shapeId="0" xr:uid="{554B43F4-D30B-4401-B000-982A2A1C8B59}">
      <text>
        <r>
          <rPr>
            <b/>
            <sz val="9"/>
            <color indexed="81"/>
            <rFont val="Tahoma"/>
            <family val="2"/>
          </rPr>
          <t>OT ontop เดือนละ 12000 ที่ที่มีทันตฯ +เพิ่ม แผนไทย+เพิ่ม</t>
        </r>
      </text>
    </comment>
    <comment ref="BO117" authorId="0" shapeId="0" xr:uid="{609443B6-6C65-4528-8B50-A11DE7AB051D}">
      <text>
        <r>
          <rPr>
            <b/>
            <sz val="9"/>
            <color indexed="81"/>
            <rFont val="Tahoma"/>
            <family val="2"/>
          </rPr>
          <t>จะเสอนแม่ข่าย ไตรมาส1-2 6 เดือน คิดเป็นรายชม.สป.ละ3วัน คนละ 2 ชม ต่อคนต่อเดือน ชมละ 80 บาท
ไตรมาส 3-4 ให้ไปใช้ในกองทุน
สายสนับสนุน ชมละ 50 บาท</t>
        </r>
      </text>
    </comment>
    <comment ref="G120" authorId="3" shapeId="0" xr:uid="{C597E107-B792-4AD4-B9DA-8B7008F05D0A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H120" authorId="0" shapeId="0" xr:uid="{5AAA03AE-191C-4AB5-B950-B2A6E53ADA76}">
      <text>
        <r>
          <rPr>
            <b/>
            <sz val="9"/>
            <color indexed="81"/>
            <rFont val="Tahoma"/>
            <family val="2"/>
          </rPr>
          <t>ลดจาก 36200</t>
        </r>
      </text>
    </comment>
    <comment ref="L120" authorId="4" shapeId="0" xr:uid="{46979E64-9A17-4E4F-86FF-D20423571122}">
      <text>
        <r>
          <rPr>
            <b/>
            <sz val="9"/>
            <color indexed="81"/>
            <rFont val="Tahoma"/>
            <family val="2"/>
          </rPr>
          <t>จ้างเหมาดูดส้วม ครั้งละ 2500 จำนวน 2 ครั้ง รวม 5000 บาท</t>
        </r>
      </text>
    </comment>
    <comment ref="M120" authorId="3" shapeId="0" xr:uid="{F53269DB-65EB-4728-B8F6-E9300B577546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O120" authorId="3" shapeId="0" xr:uid="{2D62969C-46BE-4DD2-8350-BDA27AC17EB4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Q120" authorId="3" shapeId="0" xr:uid="{AD5DBDC0-673E-4062-8669-81A8A51D7825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U120" authorId="3" shapeId="0" xr:uid="{BD8F8285-7BA7-4E63-AF97-6E600ED83B61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W120" authorId="3" shapeId="0" xr:uid="{A211EFD6-935A-4DED-8C04-1B749F1A1C2D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Y120" authorId="3" shapeId="0" xr:uid="{33795BC1-A098-4136-9033-764D857C7F01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BM120" authorId="3" shapeId="0" xr:uid="{030E9CA0-FB98-404A-B9A1-D3B7D2E4AEBC}">
      <text>
        <r>
          <rPr>
            <b/>
            <sz val="9"/>
            <color indexed="81"/>
            <rFont val="Tahoma"/>
            <family val="2"/>
          </rPr>
          <t>รพ.สต.......:</t>
        </r>
        <r>
          <rPr>
            <sz val="9"/>
            <color indexed="81"/>
            <rFont val="Tahoma"/>
            <family val="2"/>
          </rPr>
          <t xml:space="preserve">
1….
2……
3…..</t>
        </r>
      </text>
    </comment>
    <comment ref="BO120" authorId="0" shapeId="0" xr:uid="{9133765A-C05D-4235-B70C-CAB89C73EE92}">
      <text>
        <r>
          <rPr>
            <sz val="9"/>
            <color indexed="81"/>
            <rFont val="Tahoma"/>
            <family val="2"/>
          </rPr>
          <t>จ้างเหมา/ซ่อมแซม รพ.สต.
1........
2........
3........
ทำแผนแนบด้วย</t>
        </r>
      </text>
    </comment>
    <comment ref="K121" authorId="4" shapeId="0" xr:uid="{4358ADBE-EFE8-47E6-B4A7-F7498027A93D}">
      <text>
        <r>
          <rPr>
            <b/>
            <sz val="9"/>
            <color indexed="81"/>
            <rFont val="Tahoma"/>
            <family val="2"/>
          </rPr>
          <t>ซ่อมแซม ปี 66 รองรับ นิเทศผสมผสาน สสจ 2/66</t>
        </r>
      </text>
    </comment>
    <comment ref="L121" authorId="4" shapeId="0" xr:uid="{D52B7C03-CAF3-4C77-82A4-89BC9082AF3E}">
      <text>
        <r>
          <rPr>
            <b/>
            <sz val="9"/>
            <color indexed="81"/>
            <rFont val="Tahoma"/>
            <family val="2"/>
          </rPr>
          <t xml:space="preserve">คอมพิวเตอร์                  7500
เครื่องเสียง                    4000
เครื่องปรับอากาศ         7000
ไฟฟ้า                            5000
ประปา                           2000
ครุภัณฑ์ สนง.               3000                          </t>
        </r>
      </text>
    </comment>
    <comment ref="BO121" authorId="0" shapeId="0" xr:uid="{35BDB789-DBA1-4F83-BB46-EE704C2C5F6E}">
      <text>
        <r>
          <rPr>
            <sz val="9"/>
            <color indexed="81"/>
            <rFont val="Tahoma"/>
            <family val="2"/>
          </rPr>
          <t>จ้างเหมา/ซ่อมแซม รพ.สต.
1........
2........
3........
ทำแผนแนบด้วย</t>
        </r>
      </text>
    </comment>
    <comment ref="BO122" authorId="0" shapeId="0" xr:uid="{6B25B1A4-1A47-4ECD-847D-EFA654930E00}">
      <text>
        <r>
          <rPr>
            <b/>
            <sz val="9"/>
            <color indexed="81"/>
            <rFont val="Tahoma"/>
            <family val="2"/>
          </rPr>
          <t>ค่า คาริเบรท อุปกรณ์ทางการแพทย์</t>
        </r>
      </text>
    </comment>
    <comment ref="BO125" authorId="0" shapeId="0" xr:uid="{EFAC4E62-C54D-4BEC-AD8C-CA8C74C2C802}">
      <text>
        <r>
          <rPr>
            <b/>
            <sz val="9"/>
            <color indexed="81"/>
            <rFont val="Tahoma"/>
            <family val="2"/>
          </rPr>
          <t>ดูงบทดลอง ลงตามจริง</t>
        </r>
      </text>
    </comment>
    <comment ref="H131" authorId="0" shapeId="0" xr:uid="{5F9C5D64-8354-4FEF-8041-0F88E58078F4}">
      <text>
        <r>
          <rPr>
            <b/>
            <sz val="9"/>
            <color indexed="81"/>
            <rFont val="Tahoma"/>
            <family val="2"/>
          </rPr>
          <t xml:space="preserve">ปรับลดจาก 60000
</t>
        </r>
      </text>
    </comment>
    <comment ref="H136" authorId="0" shapeId="0" xr:uid="{4EF97F5C-6934-4255-874D-5410A957DF7D}">
      <text>
        <r>
          <rPr>
            <b/>
            <sz val="9"/>
            <color indexed="81"/>
            <rFont val="Tahoma"/>
            <family val="2"/>
          </rPr>
          <t>ปรับแต่งได้</t>
        </r>
      </text>
    </comment>
    <comment ref="H143" authorId="0" shapeId="0" xr:uid="{2E9D4E1F-F847-44E4-8459-5A6FBC93C83D}">
      <text>
        <r>
          <rPr>
            <b/>
            <sz val="9"/>
            <color indexed="81"/>
            <rFont val="Tahoma"/>
            <family val="2"/>
          </rPr>
          <t>ลดจาก 30000</t>
        </r>
      </text>
    </comment>
    <comment ref="L143" authorId="4" shapeId="0" xr:uid="{7AF1D447-4B7C-4834-A7F0-A90E64156D0E}">
      <text>
        <r>
          <rPr>
            <b/>
            <sz val="9"/>
            <color indexed="81"/>
            <rFont val="Tahoma"/>
            <family val="2"/>
          </rPr>
          <t>กล้องWeb Cam 2 ตัวๆ ละ 400    = 800
เครื่องอ่านสมารท์การ์ด USB 2 ตัวๆ ละ 300  = 600
เครื่องอ่านสมารท์การ์ด type C   1450
เครื่องปริ้น 2 เครื่องๆ ละ 4800  = 9600
เตาแกส 2 หัว  4200
ตู้กับข้าว  5300
เครื่องรองไฟ 3 เครื่องๆ 2500 = 7500</t>
        </r>
      </text>
    </comment>
    <comment ref="BN151" authorId="5" shapeId="0" xr:uid="{CBE69B7F-514D-4E89-8D42-EF4A5389ADCD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คก.PP = 204735
คก.สสอ. =100000
PMQA = 5000</t>
        </r>
      </text>
    </comment>
    <comment ref="V152" authorId="6" shapeId="0" xr:uid="{F1D24AAB-73E7-46D3-9025-C0B822E8002B}">
      <text>
        <r>
          <rPr>
            <b/>
            <sz val="9"/>
            <color indexed="81"/>
            <rFont val="Tahoma"/>
            <family val="2"/>
          </rPr>
          <t>อบรมเวชปฏิบัติ</t>
        </r>
      </text>
    </comment>
    <comment ref="BO152" authorId="0" shapeId="0" xr:uid="{C95CB459-526F-4D3D-9CBB-3BA75D9C4664}">
      <text>
        <r>
          <rPr>
            <b/>
            <sz val="9"/>
            <color indexed="81"/>
            <rFont val="Tahoma"/>
            <family val="2"/>
          </rPr>
          <t xml:space="preserve">ผบก 32000 เวช 50000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RadiologisT</author>
    <author>HP</author>
    <author>ASUS</author>
  </authors>
  <commentList>
    <comment ref="F6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ข้าราชการ (50 คน) 
</t>
        </r>
      </text>
    </comment>
    <comment ref="F7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6 คน
-แพทย์ 1
-ทันตแพทย์ 1
-เภสัชกร 1
-พยาบาล 2 
-นักโภชนากร 1
</t>
        </r>
      </text>
    </comment>
    <comment ref="F8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1 คน
</t>
        </r>
      </text>
    </comment>
    <comment ref="F9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2 คน 
- นว.การเงิน 1 
- นว.พัสดุ 1
</t>
        </r>
      </text>
    </comment>
    <comment ref="D14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จากตัวเลขจัดทำแผน
</t>
        </r>
      </text>
    </comment>
    <comment ref="D17" authorId="2" shapeId="0" xr:uid="{00000000-0006-0000-0300-000006000000}">
      <text>
        <r>
          <rPr>
            <sz val="9"/>
            <color indexed="81"/>
            <rFont val="Tahoma"/>
            <family val="2"/>
          </rPr>
          <t xml:space="preserve">OP เกณฑ์คุณภาพบริการปฐมภูมิ และ หน่วยรับส่งต่อ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RadiologisT</author>
  </authors>
  <commentList>
    <comment ref="F6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ข้าราชการ (50 คน) 
</t>
        </r>
      </text>
    </comment>
    <comment ref="F7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6 คน
-แพทย์ 1
-ทันตแพทย์ 1
-เภสัชกร 1
-พยาบาล 2 
-นักโภชนากร 1
</t>
        </r>
      </text>
    </comment>
    <comment ref="F8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1 คน
</t>
        </r>
      </text>
    </comment>
    <comment ref="F9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2 คน 
- นว.การเงิน 1 
- นว.พัสดุ 1
</t>
        </r>
      </text>
    </comment>
    <comment ref="F11" authorId="0" shapeId="0" xr:uid="{00000000-0006-0000-0400-000005000000}">
      <text>
        <r>
          <rPr>
            <sz val="8"/>
            <color indexed="81"/>
            <rFont val="Tahoma"/>
            <family val="2"/>
          </rPr>
          <t xml:space="preserve">34 คน
- แพทย์ 4
- ทันตแพทย์ 2
- เภสัชกร 3
- พยาบาล 24
- นักกายภาพ 1
</t>
        </r>
      </text>
    </comment>
    <comment ref="F13" authorId="0" shapeId="0" xr:uid="{00000000-0006-0000-0400-000006000000}">
      <text>
        <r>
          <rPr>
            <sz val="8"/>
            <color indexed="81"/>
            <rFont val="Tahoma"/>
            <family val="2"/>
          </rPr>
          <t xml:space="preserve">34 คน
- แพทย์ 4
- ทันตแพทย์ 2
- เภสัชกร 3
- พยาบาล 24
- นักกายภาพ 1
</t>
        </r>
      </text>
    </comment>
    <comment ref="F14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1.ค่าตอบแทนพิเศษชายแดนภาคใต้ (บริการ) =8280 (จากข้อมูลสนับสนุน)
2. เงินชดเชยสมาชิก กบข.=338,000 (จากข้อมูลงบทดลอง สค.63)
3. เงินสมทบ กบข.=226000 (จากข้อมูลงบทดลอง สค.63)
4.เงินช่วยการศึกษาบุตร=36300 (ประมาณการจากงบทดลอง สค.2563)
5.เงินช่วยค่ารักษาพยาบาลประเภทผู้ป่วยนอก=20,000 (ประมาณการจากงบทดลอง สค.2563)
</t>
        </r>
      </text>
    </comment>
    <comment ref="F16" authorId="0" shapeId="0" xr:uid="{00000000-0006-0000-0400-000008000000}">
      <text>
        <r>
          <rPr>
            <sz val="8"/>
            <color indexed="81"/>
            <rFont val="Tahoma"/>
            <family val="2"/>
          </rPr>
          <t xml:space="preserve">-ลูกจ้างชั่วคราว(24 คน) =2,477,280 บาท 
-จ้างเหมาบริการ(6 คน ) 534,360+54,000  = 588,360 บาท 
</t>
        </r>
      </text>
    </comment>
    <comment ref="F17" authorId="0" shapeId="0" xr:uid="{00000000-0006-0000-0400-000009000000}">
      <text>
        <r>
          <rPr>
            <sz val="8"/>
            <color indexed="81"/>
            <rFont val="Tahoma"/>
            <family val="2"/>
          </rPr>
          <t xml:space="preserve">พ.กระทรวง 22 คน
</t>
        </r>
      </text>
    </comment>
    <comment ref="F18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- สมทบ ลูกจ้างชั่วคราว 122,940
- สมทบ พ.กระทรวงฯ 130,332
- เงินสมทบกองทุนทดแทน 2%(นายจ้างสมทบ) =7,500
</t>
        </r>
      </text>
    </comment>
    <comment ref="F20" authorId="0" shapeId="0" xr:uid="{00000000-0006-0000-0400-00000B000000}">
      <text>
        <r>
          <rPr>
            <sz val="8"/>
            <color indexed="81"/>
            <rFont val="Tahoma"/>
            <family val="2"/>
          </rPr>
          <t xml:space="preserve">ลูกจ้างชั่วคราว  
- พยาบาลวิชาชีพ 1 คน
</t>
        </r>
      </text>
    </comment>
    <comment ref="F21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จากข้อมูลสนับสนุน
1. พกส.= 336,000
2.ลูกจ้างชั่วคราว= 368,400
3.ลูกจ้างประจำ= 18,000
4.พนักงานราชการ = 57,600
5.ข้าราชการ=1,565,700 (3,590,000ทั้งหมด-2,024,300ยอดวางฎีกาปี63)
</t>
        </r>
      </text>
    </comment>
    <comment ref="F22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ประมาณการจากงบทดลอง สค.63
</t>
        </r>
      </text>
    </comment>
    <comment ref="F23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ข้อมูลจากไฟล์สนับสนุน 
</t>
        </r>
      </text>
    </comment>
    <comment ref="F31" authorId="0" shapeId="0" xr:uid="{00000000-0006-0000-0400-00000F000000}">
      <text>
        <r>
          <rPr>
            <u/>
            <sz val="8"/>
            <color indexed="81"/>
            <rFont val="Tahoma"/>
            <family val="2"/>
          </rPr>
          <t>ค่าจ้างเหมาอื่น</t>
        </r>
        <r>
          <rPr>
            <sz val="8"/>
            <color indexed="81"/>
            <rFont val="Tahoma"/>
            <family val="2"/>
          </rPr>
          <t xml:space="preserve"> 
-ค่าจ้างเหมาทำอาหาร เดือนล่ะ 50,000 = 600,000.-
-ค่าจ้างเปลี่ยนสารระบบกรองน้ำ RO (มี 5 จุด เปลี่ยนปีล่ะ 3 ครั้ง ครั้งล่ะ 45000 บาท)    = 135,000.-
-ค่าจ้างเหมาบำรุงรักษาเครื่องปรับอากาศ 63 เครื่อง * 2 ครั้ง =75,000.-
-ค่าจ้างกำจัดปลวก ปี ล่ะ 2 ครั้ง  ๆ ล่ะ 40,000 =  80,000.-
-ค่าเช่าเครื่องถ่ายเอกสาร เดือน ล่ะ 4,000  =   48,000.
-จ้างกำจัดสิ่งปฏิกูล       =   10,000.-
-ค่ากำจัดขยะติดเชื้อ      =   70,000.-
</t>
        </r>
        <r>
          <rPr>
            <u/>
            <sz val="8"/>
            <color indexed="81"/>
            <rFont val="Tahoma"/>
            <family val="2"/>
          </rPr>
          <t>ค่าซ่อมแซม</t>
        </r>
        <r>
          <rPr>
            <sz val="8"/>
            <color indexed="81"/>
            <rFont val="Tahoma"/>
            <family val="2"/>
          </rPr>
          <t xml:space="preserve">
-ค่าซ่อมบำรุงรถยนต์ราชการ 5 คัน = 90,000.-
-ค่าซ่อมแซมครุภัณฑ์งานบ้านงานครัว = 15,000.-
-ค่าซ่อมบำรุงครุภัณฑ์คอมพิวเตอร์ = 25,000.-
-ค่าซ่อมแซมครุภัณฑ์การแพทย์ =  200,000.-
-ค่าซ่อมบำรุงเครื่องกำเนิดไฟฟ้า 2 ครั้ง =  50,000.-
-ค่าซ่อมบำรุงครุภัณฑ์การเกษตร  =  5,000.-
</t>
        </r>
      </text>
    </comment>
    <comment ref="F32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จ้างทำฟันปลอม
</t>
        </r>
      </text>
    </comment>
    <comment ref="F33" authorId="0" shapeId="0" xr:uid="{00000000-0006-0000-0400-000011000000}">
      <text>
        <r>
          <rPr>
            <u/>
            <sz val="8"/>
            <color indexed="81"/>
            <rFont val="Tahoma"/>
            <family val="2"/>
          </rPr>
          <t>ค่าจ้างตรวจทางห้องปฏิบัติการ</t>
        </r>
        <r>
          <rPr>
            <sz val="8"/>
            <color indexed="81"/>
            <rFont val="Tahoma"/>
            <family val="2"/>
          </rPr>
          <t xml:space="preserve">
Lab 400,000
Hba1c = 180,000
ค่าตรวจน้ำ 60000
</t>
        </r>
        <r>
          <rPr>
            <u/>
            <sz val="8"/>
            <color indexed="81"/>
            <rFont val="Tahoma"/>
            <family val="2"/>
          </rPr>
          <t xml:space="preserve">ค่าจ้างตรวจ X-Ray
</t>
        </r>
        <r>
          <rPr>
            <sz val="8"/>
            <color indexed="81"/>
            <rFont val="Tahoma"/>
            <family val="2"/>
          </rPr>
          <t xml:space="preserve">เดือนล่ะ 20,000*12= 240,000 บาท </t>
        </r>
      </text>
    </comment>
    <comment ref="F35" authorId="0" shapeId="0" xr:uid="{00000000-0006-0000-0400-000012000000}">
      <text>
        <r>
          <rPr>
            <sz val="8"/>
            <color indexed="81"/>
            <rFont val="Tahoma"/>
            <family val="2"/>
          </rPr>
          <t xml:space="preserve">ประมาณการจากงบทดลอง สค.63 และเนื่องจากมีการขยายและปรับปรุงห้อง ER , ห้อง Lab , ห้องบัตร , ห้องทันตกรรม จึงทำให้มีการประมาณการค่าไฟเพิ่มขึ้น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ASUS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จากตัวเลขจัดทำแผน
</t>
        </r>
      </text>
    </comment>
    <comment ref="D8" authorId="1" shapeId="0" xr:uid="{00000000-0006-0000-0A00-000002000000}">
      <text>
        <r>
          <rPr>
            <sz val="9"/>
            <color indexed="81"/>
            <rFont val="Tahoma"/>
            <family val="2"/>
          </rPr>
          <t xml:space="preserve">OP เกณฑ์คุณภาพบริการปฐมภูมิ และ หน่วยรับส่งต่อ
</t>
        </r>
      </text>
    </comment>
  </commentList>
</comments>
</file>

<file path=xl/sharedStrings.xml><?xml version="1.0" encoding="utf-8"?>
<sst xmlns="http://schemas.openxmlformats.org/spreadsheetml/2006/main" count="2516" uniqueCount="1656">
  <si>
    <t>ลำดับ</t>
  </si>
  <si>
    <t>รายการ</t>
  </si>
  <si>
    <t>ร้อยละ</t>
  </si>
  <si>
    <t>รายได้จากงบประมาณ</t>
  </si>
  <si>
    <t>งบประมาณดำเนินการ</t>
  </si>
  <si>
    <t>รายได้จาก UC ต่อประชากร</t>
  </si>
  <si>
    <t>2.1กองทุนผู้ป่วยนอก OP</t>
  </si>
  <si>
    <t>2.2กองทุนผู้ป่วยใน IP</t>
  </si>
  <si>
    <t>2.3กองทุนสร้างเสริมสุขภาพและป้องกันโรค PP</t>
  </si>
  <si>
    <t>►งบรักษาพยาบาล  ต้อกระจก</t>
  </si>
  <si>
    <t>รายได้ค่าธรรมเนียม 30 บาท</t>
  </si>
  <si>
    <t>► ผู้ป่วยนอก</t>
  </si>
  <si>
    <t>► ผู้ป่วยใน</t>
  </si>
  <si>
    <t xml:space="preserve">งบบุคลากร </t>
  </si>
  <si>
    <t>งบบุคลากร L0 (งบประมาณ)</t>
  </si>
  <si>
    <t>เงินเดือนข้าราชการ</t>
  </si>
  <si>
    <t>เงินประจำตำแหน่ง</t>
  </si>
  <si>
    <t>ค่าจ้างประจำ</t>
  </si>
  <si>
    <t>เงินเดือน พ.ราชการ</t>
  </si>
  <si>
    <t>เงินตอบแทนรายเดือน</t>
  </si>
  <si>
    <t>งบบุคลากร L1 (เงินบำรุง)</t>
  </si>
  <si>
    <t>สมทบประกันสังคมส่วนนายจ้าง</t>
  </si>
  <si>
    <t>ค่าตอบแทน</t>
  </si>
  <si>
    <t xml:space="preserve">     ค่าตอบแทน พตส.</t>
  </si>
  <si>
    <t>ค่าไม่ทำเวชปฏิบัติ</t>
  </si>
  <si>
    <t xml:space="preserve">ค่าใช้จ่ายงบดำเนินการ </t>
  </si>
  <si>
    <t>ค่าใช้จ่ายดำเนินการ จาก เงินบำรุง</t>
  </si>
  <si>
    <t xml:space="preserve">ค่าใช้สอยอื่น </t>
  </si>
  <si>
    <t>ค่าใช้จ่ายไปราชการ ประชุม อบรม</t>
  </si>
  <si>
    <t>ค่าจ้างตรวจทางห้องปฏิบัติการ</t>
  </si>
  <si>
    <t>ค่าสาธารณูปโภค</t>
  </si>
  <si>
    <t>ค่าไฟฟ้า</t>
  </si>
  <si>
    <t>ค่าประปา</t>
  </si>
  <si>
    <t>ค่าโทรศัพท์+Internet</t>
  </si>
  <si>
    <t>ค่าไปรษณีย์</t>
  </si>
  <si>
    <t>ค่าวัสดุ</t>
  </si>
  <si>
    <t>ค่าวัสดุสำนักงาน</t>
  </si>
  <si>
    <t>ค่าวัสดุเชื้อเพลิง</t>
  </si>
  <si>
    <t>วัสดุอื่น</t>
  </si>
  <si>
    <t>ค่ายาและเวชภัณฑ์</t>
  </si>
  <si>
    <t>ค่ายา</t>
  </si>
  <si>
    <t>ค่าเวชภัณฑ์มิใช่ยา / วัสดุการแพทย์</t>
  </si>
  <si>
    <t>วัสดุวิทยาศาสตร์ /Lab</t>
  </si>
  <si>
    <t>วัสดุทันตกรรม</t>
  </si>
  <si>
    <t>ค่าใช้จ่ายตามโครงการตามแผนปฏิบัติการ</t>
  </si>
  <si>
    <t>โครงการส่งเสริมป้องกัน (งบจากกองทุนตำบล)</t>
  </si>
  <si>
    <t>โครงการส่งเสริมป้องกัน(เงินบำรุง/UC)</t>
  </si>
  <si>
    <t>โครงการพัฒนาบุคลากร สัมมนา (เงินบำรุง/UC)</t>
  </si>
  <si>
    <t>โครงการอื่น ๆ  (เงินบำรุง/UC)</t>
  </si>
  <si>
    <t>ค่าใช้จ่ายอื่น</t>
  </si>
  <si>
    <t>เหมาจ่ายรายหัว Prepaid</t>
  </si>
  <si>
    <t>Ø</t>
  </si>
  <si>
    <t>Øเงินเดือนข้าราชการ</t>
  </si>
  <si>
    <t>Øเงินประจำตำแหน่ง</t>
  </si>
  <si>
    <t>Øค่าจ้างประจำ</t>
  </si>
  <si>
    <t>Øเงินเดือน พ.ราชการ</t>
  </si>
  <si>
    <t>Øเงินตอบแทนรายเดือน</t>
  </si>
  <si>
    <t xml:space="preserve">Øเงินตอบแทนอื่น ๆ  </t>
  </si>
  <si>
    <t>Øประกันสังคม/กองทุนทดแทน</t>
  </si>
  <si>
    <t>Øพรบ.ผู้ประสบภัยจากรถ</t>
  </si>
  <si>
    <t>Øแรงงานต่างด้าวขึ้นทะเบียน</t>
  </si>
  <si>
    <r>
      <t>ค่าจ้างเหมาบริการทดแทนค่าแรง</t>
    </r>
    <r>
      <rPr>
        <sz val="10"/>
        <rFont val="Tahoma"/>
        <family val="2"/>
        <scheme val="minor"/>
      </rPr>
      <t>(ยาม,สะอาด,ขยะ,โรงอาหาร,แผนไทย)</t>
    </r>
  </si>
  <si>
    <t>งบตามเกณฑ์คุณภาพบริการ</t>
  </si>
  <si>
    <t>งบผู้ป่วยในสิทธิ UC Prepaid</t>
  </si>
  <si>
    <t>กองทุนบริการกรณีเฉพาะ Central Reimburse</t>
  </si>
  <si>
    <t>ในจังหวัด</t>
  </si>
  <si>
    <t>นอกจังหวัด</t>
  </si>
  <si>
    <t>รายได้ค่ารักษาพยาบาล Non-UC</t>
  </si>
  <si>
    <t>รายได้กองทุน EMS</t>
  </si>
  <si>
    <t>Øเงินชดเชยบริการผู้ป่วยระบบ EMS</t>
  </si>
  <si>
    <t>รายได้อื่น ๆ</t>
  </si>
  <si>
    <t>Ø  เงินบริจาค/ดอกเบี้ย/ใบรับรองแพทย์/สมุนไพร/อบต.</t>
  </si>
  <si>
    <t xml:space="preserve">ค่าใช้จ่าย </t>
  </si>
  <si>
    <t>ค่าจ้างชั่วคราว ลูกจ้างทั่วไป</t>
  </si>
  <si>
    <t>ค่าจ้างชั่วคราว พนักงานกระทรวงฯ</t>
  </si>
  <si>
    <t xml:space="preserve">     ค่าตอบแทนนอกเวลา OT / บ่ายดึก</t>
  </si>
  <si>
    <t>ค่าเวชปฏิบัติครอบครัว(เยี่ยมบ้าน ฯลฯ)</t>
  </si>
  <si>
    <t>รวมค่าใช้จ่าย</t>
  </si>
  <si>
    <t>ค่าใช้จ่ายตามจ่าย</t>
  </si>
  <si>
    <t>ซ่อมแซม</t>
  </si>
  <si>
    <t>ค่าใช้สอยอื่น</t>
  </si>
  <si>
    <t>Øค่ารักษาพยาบาลสิทธิอื่น(ชำระเงินเอง)</t>
  </si>
  <si>
    <t>แบบที่ 2</t>
  </si>
  <si>
    <t>รายได้</t>
  </si>
  <si>
    <t>ค่าใช้จ่าย</t>
  </si>
  <si>
    <t>รายได้ UC</t>
  </si>
  <si>
    <t>ต้นทุนยา</t>
  </si>
  <si>
    <t>รายได้จาก  EMS</t>
  </si>
  <si>
    <t>รายได้ค่ารักษาเบิกต้นสังกัด</t>
  </si>
  <si>
    <t>ต้นทุนวัสดุวิทยาศาสตร์การแพทย์</t>
  </si>
  <si>
    <t>รายได้ค่ารักษาเบิกจ่ายตรงกรมบัญชีกลาง</t>
  </si>
  <si>
    <t>เงินเดือนและค่าจ้างประจำ</t>
  </si>
  <si>
    <t>รายได้ประกันสังคม</t>
  </si>
  <si>
    <t>ค่าจ้างชั่วคราว</t>
  </si>
  <si>
    <t>รายได้แรงงานต่างด้าว</t>
  </si>
  <si>
    <t>รายได้ค่ารักษาและบริการอื่น ๆ</t>
  </si>
  <si>
    <t xml:space="preserve">ค่าใช้จ่ายบุคลากรอื่น </t>
  </si>
  <si>
    <t>รายได้งบประมาณส่วนบุคลากร</t>
  </si>
  <si>
    <t>ค่าใช้สอย</t>
  </si>
  <si>
    <t>รายได้อื่น</t>
  </si>
  <si>
    <t xml:space="preserve">ค่าสาธารณูปโภค </t>
  </si>
  <si>
    <t>รวมรายได้</t>
  </si>
  <si>
    <t xml:space="preserve">วัสดุใช้ไป </t>
  </si>
  <si>
    <t>ค่าเสื่อมราคาและค่าตัดจำหน่าย</t>
  </si>
  <si>
    <t>ส่วนต่างรายได้หักค่าใข้จ่าย</t>
  </si>
  <si>
    <t>ลงชื่อ                                          ผู้อำนวยการ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</si>
  <si>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</si>
  <si>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</si>
  <si>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</si>
  <si>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</si>
  <si>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</si>
  <si>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</si>
  <si>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</si>
  <si>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</si>
  <si>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</si>
  <si>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P13S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</si>
  <si>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</si>
  <si>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</si>
  <si>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</si>
  <si>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</si>
  <si>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</si>
  <si>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</si>
  <si>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</si>
  <si>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</si>
  <si>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</si>
  <si>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</si>
  <si>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</si>
  <si>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</si>
  <si>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P26S</t>
  </si>
  <si>
    <t>แม่ข่าย</t>
  </si>
  <si>
    <t>ลูกข่าย</t>
  </si>
  <si>
    <t>สัดส่วน</t>
  </si>
  <si>
    <t>งบประมาณ บุคลากร</t>
  </si>
  <si>
    <t xml:space="preserve">  </t>
  </si>
  <si>
    <t>เงินตอบแทนอื่น ๆ  พตส.</t>
  </si>
  <si>
    <t>ต่าง CUP ในจังหวัด</t>
  </si>
  <si>
    <t>ข้าราชการ/พนักงานรัฐวิสาหกิจ/เบิกต้นสังกัด</t>
  </si>
  <si>
    <t>ประกันสังคม/กองทุนทดแทน</t>
  </si>
  <si>
    <t>พรบ.ผู้ประสบภัยจากรถ</t>
  </si>
  <si>
    <t>แรงงานต่างด้าวขึ้นทะเบียน</t>
  </si>
  <si>
    <t>ค่ารักษาพยาบาลสิทธิอื่น</t>
  </si>
  <si>
    <t>รวมรายได้ทั้งหมด</t>
  </si>
  <si>
    <t>รายได้ EMS</t>
  </si>
  <si>
    <t>รายได้อื่น ๆดอกเบี้ย/ใบรับรองแพทย์/สมุนไพร/ อบต.</t>
  </si>
  <si>
    <t>ลูกข่าย  ( รพ.สต. )</t>
  </si>
  <si>
    <t>สมทบประกันสังคมส่วนนายจ้าง เพิ่ม 5%</t>
  </si>
  <si>
    <t>ค่าจ้างเหมาบริการทดแทนค่าแรง</t>
  </si>
  <si>
    <t>ค่าใช้สอยอื่น ซ่อมแซม / จ้างเหมาอื่น</t>
  </si>
  <si>
    <t>เงินบำรุงคงเหลือหักภาระผูกพัน</t>
  </si>
  <si>
    <t>2.4 กองทุนบริการกรณีเฉพาะ Central Reimburse</t>
  </si>
  <si>
    <t xml:space="preserve"> </t>
  </si>
  <si>
    <t>รวมเครือข่าย</t>
  </si>
  <si>
    <t>Øเบิกต้นสังกัด</t>
  </si>
  <si>
    <t>Øเบิกจ่ายตรง</t>
  </si>
  <si>
    <t>Ø PP ชุมชน(อปท.45)</t>
  </si>
  <si>
    <t>2.5 งบค่าบริการทางการแพทยที่เบิกจ่ายในลักษณะงบลงทุน</t>
  </si>
  <si>
    <t>ค่าตอบแทนกำลังคนด้านสาธารณสุข</t>
  </si>
  <si>
    <t>2.5 งบค่าบริการทางการแพทย์ที่จ่ายในลักษณะการลงทุน</t>
  </si>
  <si>
    <t>1.1 งบประมาณ บุคลากร</t>
  </si>
  <si>
    <t>1.2 งบประมาณดำเนินการ</t>
  </si>
  <si>
    <t xml:space="preserve">รายได้จาก UC </t>
  </si>
  <si>
    <t>เครือข่าย</t>
  </si>
  <si>
    <t>OP</t>
  </si>
  <si>
    <t>IP</t>
  </si>
  <si>
    <t>PP</t>
  </si>
  <si>
    <t>Total</t>
  </si>
  <si>
    <t>Copy Past Collum นี้</t>
  </si>
  <si>
    <t>จัดสรร</t>
  </si>
  <si>
    <t>ผลต่าง</t>
  </si>
  <si>
    <t>รหัสบัญชี</t>
  </si>
  <si>
    <t>ชื่อบัญชี</t>
  </si>
  <si>
    <t>จำนวนเงิน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</si>
  <si>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</si>
  <si>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</si>
  <si>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</si>
  <si>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</si>
  <si>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</si>
  <si>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</si>
  <si>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</si>
  <si>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</si>
  <si>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</si>
  <si>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</si>
  <si>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</si>
  <si>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</si>
  <si>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</si>
  <si>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4207010102.102</t>
  </si>
  <si>
    <t>รายได้แผ่นดิน-ค่าปรับอื่นจ่ายคืน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</si>
  <si>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</si>
  <si>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</si>
  <si>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</si>
  <si>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</si>
  <si>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</si>
  <si>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รายได้ค่าตรวจสุขภาพ-หน่วยงานภาครัฐ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</si>
  <si>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</si>
  <si>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</si>
  <si>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</si>
  <si>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</si>
  <si>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</si>
  <si>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</si>
  <si>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4301020104.104</t>
  </si>
  <si>
    <t>4301020104.105</t>
  </si>
  <si>
    <t>4301020104.106</t>
  </si>
  <si>
    <t>4301020104.107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</si>
  <si>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</si>
  <si>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</si>
  <si>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</si>
  <si>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</si>
  <si>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</si>
  <si>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</si>
  <si>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4301020104.602</t>
  </si>
  <si>
    <t>4301020104.603</t>
  </si>
  <si>
    <t>4301020104.801</t>
  </si>
  <si>
    <t>4301020104.802</t>
  </si>
  <si>
    <t>4301020104.803</t>
  </si>
  <si>
    <t>4301020104.804</t>
  </si>
  <si>
    <t>4301020105.201</t>
  </si>
  <si>
    <t>4301020105.202</t>
  </si>
  <si>
    <t>4301020105.203</t>
  </si>
  <si>
    <t>4301020105.205</t>
  </si>
  <si>
    <t>4301020105.207</t>
  </si>
  <si>
    <t>4301020105.211</t>
  </si>
  <si>
    <t>รายได้กองทุน UC (งบลงทุน)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</si>
  <si>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</si>
  <si>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</si>
  <si>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</si>
  <si>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</si>
  <si>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</si>
  <si>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</si>
  <si>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</si>
  <si>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</si>
  <si>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</si>
  <si>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</si>
  <si>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</si>
  <si>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</si>
  <si>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</si>
  <si>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</si>
  <si>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</si>
  <si>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</si>
  <si>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</si>
  <si>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</si>
  <si>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</si>
  <si>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</si>
  <si>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</si>
  <si>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</si>
  <si>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</si>
  <si>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</si>
  <si>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</si>
  <si>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</si>
  <si>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</si>
  <si>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</si>
  <si>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</si>
  <si>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</si>
  <si>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</si>
  <si>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</si>
  <si>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</si>
  <si>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</si>
  <si>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</si>
  <si>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</si>
  <si>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4301020106.502</t>
  </si>
  <si>
    <t>รายได้กองทุนแรงงานต่างด้าว</t>
  </si>
  <si>
    <t>4301020106.503</t>
  </si>
  <si>
    <t>4301020106.504</t>
  </si>
  <si>
    <t>4301020106.505</t>
  </si>
  <si>
    <t>4301020106.507</t>
  </si>
  <si>
    <t>4301020106.509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</si>
  <si>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</si>
  <si>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</si>
  <si>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</si>
  <si>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</si>
  <si>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</si>
  <si>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</si>
  <si>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</si>
  <si>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</si>
  <si>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</si>
  <si>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</si>
  <si>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</si>
  <si>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</si>
  <si>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</si>
  <si>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</si>
  <si>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</si>
  <si>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</si>
  <si>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</si>
  <si>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</si>
  <si>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</si>
  <si>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</si>
  <si>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</si>
  <si>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</si>
  <si>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</si>
  <si>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</si>
  <si>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4307010103.201</t>
  </si>
  <si>
    <t>4307010104.101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</si>
  <si>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</si>
  <si>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</si>
  <si>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</si>
  <si>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</si>
  <si>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</si>
  <si>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</si>
  <si>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</si>
  <si>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</si>
  <si>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</si>
  <si>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</si>
  <si>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</si>
  <si>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</si>
  <si>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</si>
  <si>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</si>
  <si>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</si>
  <si>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</si>
  <si>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</si>
  <si>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</si>
  <si>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</si>
  <si>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</si>
  <si>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</si>
  <si>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</si>
  <si>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</si>
  <si>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</si>
  <si>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</si>
  <si>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</si>
  <si>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</si>
  <si>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</si>
  <si>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4313010199.117</t>
  </si>
  <si>
    <t>รายได้อื่น-เงินนอกงบประมาณรับโอนจาก สสจ./รพศ./รพท./รพช./รพ.สต.</t>
  </si>
  <si>
    <t>4313010199.118</t>
  </si>
  <si>
    <t>4313010199.119</t>
  </si>
  <si>
    <t>4313010199.120</t>
  </si>
  <si>
    <t>4313010199.121</t>
  </si>
  <si>
    <t>4313010199.122</t>
  </si>
  <si>
    <t>4313010199.202</t>
  </si>
  <si>
    <t>รายได้ค่าธรรมเนียม UC</t>
  </si>
  <si>
    <t>รายได้ค่าบริหารจัดการประกันสังคม</t>
  </si>
  <si>
    <t>รายได้ค่าตอบแทนและพัฒนากิจการ</t>
  </si>
  <si>
    <t>รายได้ค่าบริหารจัดการแรงงานต่างด้าว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</si>
  <si>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</si>
  <si>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</si>
  <si>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</si>
  <si>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</si>
  <si>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</si>
  <si>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</si>
  <si>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</si>
  <si>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</si>
  <si>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</si>
  <si>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</si>
  <si>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</si>
  <si>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</si>
  <si>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</si>
  <si>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</si>
  <si>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</si>
  <si>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</si>
  <si>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</si>
  <si>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</si>
  <si>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</si>
  <si>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</si>
  <si>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</si>
  <si>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</si>
  <si>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</si>
  <si>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</si>
  <si>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</si>
  <si>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</si>
  <si>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</si>
  <si>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</si>
  <si>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</si>
  <si>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</si>
  <si>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</si>
  <si>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</si>
  <si>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</si>
  <si>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</si>
  <si>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</si>
  <si>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</si>
  <si>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</si>
  <si>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</si>
  <si>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</si>
  <si>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</si>
  <si>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</si>
  <si>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</si>
  <si>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</si>
  <si>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5101020101.101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</si>
  <si>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</si>
  <si>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</si>
  <si>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</si>
  <si>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</si>
  <si>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</si>
  <si>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</si>
  <si>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</si>
  <si>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</si>
  <si>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</si>
  <si>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</si>
  <si>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</si>
  <si>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ค่าตอบแทนเงินเพิ่มพิเศษทันตแพทย์ไม่ทำเวชปฏิบัติฯลฯ(บริการ)</t>
  </si>
  <si>
    <t>5101020114.107</t>
  </si>
  <si>
    <t>5101020114.114</t>
  </si>
  <si>
    <t>5101030101.101</t>
  </si>
  <si>
    <t>เงินช่วยการศึกษาบุตร</t>
  </si>
  <si>
    <t>5101030205.101</t>
  </si>
  <si>
    <t>5101030207.101</t>
  </si>
  <si>
    <t>5101030208.101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</si>
  <si>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</si>
  <si>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</si>
  <si>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</si>
  <si>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</si>
  <si>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</si>
  <si>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</si>
  <si>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</si>
  <si>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</si>
  <si>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</si>
  <si>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5101040206.101</t>
  </si>
  <si>
    <t>5101040207.101</t>
  </si>
  <si>
    <t>5102010106.101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</si>
  <si>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</si>
  <si>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</si>
  <si>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</si>
  <si>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</si>
  <si>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</si>
  <si>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</si>
  <si>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</si>
  <si>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</si>
  <si>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</si>
  <si>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</si>
  <si>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</si>
  <si>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</si>
  <si>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</si>
  <si>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</si>
  <si>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</si>
  <si>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</si>
  <si>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</si>
  <si>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</si>
  <si>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</si>
  <si>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</si>
  <si>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</si>
  <si>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</si>
  <si>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</si>
  <si>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</si>
  <si>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</si>
  <si>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</si>
  <si>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</si>
  <si>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</si>
  <si>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</si>
  <si>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</si>
  <si>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</si>
  <si>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</si>
  <si>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</si>
  <si>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</si>
  <si>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</si>
  <si>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</si>
  <si>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</si>
  <si>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</si>
  <si>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</si>
  <si>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</si>
  <si>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</si>
  <si>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</si>
  <si>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</si>
  <si>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</si>
  <si>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</si>
  <si>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</si>
  <si>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</si>
  <si>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</si>
  <si>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</si>
  <si>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</si>
  <si>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</si>
  <si>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</si>
  <si>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5104020101.101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</si>
  <si>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</si>
  <si>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</si>
  <si>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</si>
  <si>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</si>
  <si>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</si>
  <si>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</si>
  <si>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</si>
  <si>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5104030202.101</t>
  </si>
  <si>
    <t>ค่าจ้างที่ปรึกษา</t>
  </si>
  <si>
    <t>5104030203.101</t>
  </si>
  <si>
    <t>ค่าเบี้ยประกันภัย</t>
  </si>
  <si>
    <t>5104030205.101</t>
  </si>
  <si>
    <t>ยาใช้ไป</t>
  </si>
  <si>
    <t>5104030205.102</t>
  </si>
  <si>
    <t>5104030205.103</t>
  </si>
  <si>
    <t>5104030205.104</t>
  </si>
  <si>
    <t>วัสดุวิทยาศาสตร์และการแพทย์ใช้ไป</t>
  </si>
  <si>
    <t>วัสดุสำนักงานใช้ไป</t>
  </si>
  <si>
    <t>วัสดุยานพาหนะและขนส่งใช้ไป</t>
  </si>
  <si>
    <t>วัสดุเชื้อเพลิงและหล่อลื่นใช้ไป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</si>
  <si>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</si>
  <si>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</si>
  <si>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</si>
  <si>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</si>
  <si>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</si>
  <si>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</si>
  <si>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</si>
  <si>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</si>
  <si>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</si>
  <si>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</si>
  <si>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</si>
  <si>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5104030205.117</t>
  </si>
  <si>
    <t>วัสดุทันตกรรมใช้ไป</t>
  </si>
  <si>
    <t>5104030206.101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</si>
  <si>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</si>
  <si>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</si>
  <si>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</si>
  <si>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</si>
  <si>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</si>
  <si>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</si>
  <si>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</si>
  <si>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</si>
  <si>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</si>
  <si>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</si>
  <si>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</si>
  <si>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</si>
  <si>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</si>
  <si>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</si>
  <si>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</si>
  <si>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</si>
  <si>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5104030299.702</t>
  </si>
  <si>
    <t>ค่ารักษาตามจ่ายบุคคลที่มีปัญหาสถานะและสิทธิ</t>
  </si>
  <si>
    <t>5105010101.101</t>
  </si>
  <si>
    <t>ค่าเสื่อมราคา -อาคารเพื่อการพักอาศัย</t>
  </si>
  <si>
    <t>5105010103.101</t>
  </si>
  <si>
    <t>5105010105.101</t>
  </si>
  <si>
    <t>5105010107.101</t>
  </si>
  <si>
    <t>5105010107.102</t>
  </si>
  <si>
    <t>ค่าเสื่อมราคา -ระบบประปา</t>
  </si>
  <si>
    <t>5105010107.103</t>
  </si>
  <si>
    <t>5105010107.104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</si>
  <si>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</si>
  <si>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</si>
  <si>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</si>
  <si>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</si>
  <si>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</si>
  <si>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</si>
  <si>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</si>
  <si>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</si>
  <si>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</si>
  <si>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</si>
  <si>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</si>
  <si>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</si>
  <si>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</si>
  <si>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</si>
  <si>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</si>
  <si>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</si>
  <si>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</si>
  <si>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</si>
  <si>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</si>
  <si>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</si>
  <si>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</si>
  <si>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</si>
  <si>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</si>
  <si>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</si>
  <si>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</si>
  <si>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</si>
  <si>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</si>
  <si>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</si>
  <si>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</si>
  <si>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</si>
  <si>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</si>
  <si>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</si>
  <si>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</si>
  <si>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</si>
  <si>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</si>
  <si>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</si>
  <si>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</si>
  <si>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</si>
  <si>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</si>
  <si>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</si>
  <si>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</si>
  <si>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</si>
  <si>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</si>
  <si>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</si>
  <si>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</si>
  <si>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</si>
  <si>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</si>
  <si>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</si>
  <si>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</si>
  <si>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</si>
  <si>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</si>
  <si>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</si>
  <si>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</si>
  <si>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</si>
  <si>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</si>
  <si>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</si>
  <si>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</si>
  <si>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</si>
  <si>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</si>
  <si>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</si>
  <si>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</si>
  <si>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</si>
  <si>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</si>
  <si>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</si>
  <si>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</si>
  <si>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</si>
  <si>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</si>
  <si>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</si>
  <si>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</si>
  <si>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</si>
  <si>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</si>
  <si>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</si>
  <si>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</si>
  <si>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</si>
  <si>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</si>
  <si>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</si>
  <si>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</si>
  <si>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</si>
  <si>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</si>
  <si>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</si>
  <si>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</si>
  <si>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</si>
  <si>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</si>
  <si>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</si>
  <si>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</si>
  <si>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</si>
  <si>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</si>
  <si>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</si>
  <si>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</si>
  <si>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</si>
  <si>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</si>
  <si>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</si>
  <si>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</si>
  <si>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</si>
  <si>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</si>
  <si>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</si>
  <si>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</si>
  <si>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</si>
  <si>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</si>
  <si>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</si>
  <si>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</si>
  <si>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</si>
  <si>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</si>
  <si>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</si>
  <si>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</si>
  <si>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</si>
  <si>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</si>
  <si>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</si>
  <si>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</si>
  <si>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</si>
  <si>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</si>
  <si>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</si>
  <si>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</si>
  <si>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</si>
  <si>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</si>
  <si>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</si>
  <si>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</si>
  <si>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</si>
  <si>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</si>
  <si>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</si>
  <si>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</si>
  <si>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</si>
  <si>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</si>
  <si>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</si>
  <si>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</si>
  <si>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</si>
  <si>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</si>
  <si>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</si>
  <si>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</si>
  <si>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</si>
  <si>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</si>
  <si>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</si>
  <si>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</si>
  <si>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</si>
  <si>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</si>
  <si>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</si>
  <si>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</si>
  <si>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</si>
  <si>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</si>
  <si>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</si>
  <si>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</si>
  <si>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</si>
  <si>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</si>
  <si>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</si>
  <si>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</si>
  <si>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</si>
  <si>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</si>
  <si>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</si>
  <si>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</si>
  <si>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</si>
  <si>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</si>
  <si>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5212010199.111</t>
  </si>
  <si>
    <t>5212010199.112</t>
  </si>
  <si>
    <t>5212010199.113</t>
  </si>
  <si>
    <t>5212010199.114</t>
  </si>
  <si>
    <t>5401010101.101</t>
  </si>
  <si>
    <t>ค่าใช้จ่ายรายการพิเศษนอกเหนือการดำเนินงานปกติ</t>
  </si>
  <si>
    <t>F70</t>
  </si>
  <si>
    <t>F73</t>
  </si>
  <si>
    <t>F79</t>
  </si>
  <si>
    <t>Øเบิกจ่ายตรง อปท.</t>
  </si>
  <si>
    <t>F76</t>
  </si>
  <si>
    <t>F32</t>
  </si>
  <si>
    <t>F31</t>
  </si>
  <si>
    <t>รายได้จากแบบบันทึก</t>
  </si>
  <si>
    <t>รวมรายจ่าย</t>
  </si>
  <si>
    <t>รายจ่ายจากแบบบันทึก</t>
  </si>
  <si>
    <t>F82</t>
  </si>
  <si>
    <t>F104</t>
  </si>
  <si>
    <t>F110</t>
  </si>
  <si>
    <t>F105</t>
  </si>
  <si>
    <t>F117</t>
  </si>
  <si>
    <t>F114</t>
  </si>
  <si>
    <t>F126</t>
  </si>
  <si>
    <t>F127</t>
  </si>
  <si>
    <t>F131</t>
  </si>
  <si>
    <t>F133</t>
  </si>
  <si>
    <t>F140</t>
  </si>
  <si>
    <t>F143</t>
  </si>
  <si>
    <t>F135</t>
  </si>
  <si>
    <t>F136</t>
  </si>
  <si>
    <t>F138</t>
  </si>
  <si>
    <t>F145</t>
  </si>
  <si>
    <t>ข้าราชการ/พนักงานรัฐวิสาหกิจ/เบิกจ่ายตรง</t>
  </si>
  <si>
    <t>งบค่าบริการทางการแพทย์ที่จ่ายในลักษณะการลงทุน</t>
  </si>
  <si>
    <t>งบแพทย์แผนไทย</t>
  </si>
  <si>
    <t>จำนวน</t>
  </si>
  <si>
    <t>ตั้งงบรอจัดสรร</t>
  </si>
  <si>
    <t>โอนรายไตรมาส</t>
  </si>
  <si>
    <t>Q1</t>
  </si>
  <si>
    <t>Q2</t>
  </si>
  <si>
    <t>Q3</t>
  </si>
  <si>
    <t>Q4</t>
  </si>
  <si>
    <t>ตามงวด</t>
  </si>
  <si>
    <t>ใช้แสดงผลใน Sheet ประมาณการรายได้</t>
  </si>
  <si>
    <t>Øค่ารักษาพยาบาลบุคคลที่มีปัญหาสถานะสิทธิ</t>
  </si>
  <si>
    <t>แผนการชำระหนี้</t>
  </si>
  <si>
    <t>รายได้งบลงทุน</t>
  </si>
  <si>
    <t>ต้นทุน วมย. /วัสดุการแพทย์/ทันตกรรม</t>
  </si>
  <si>
    <t xml:space="preserve">     ค่าตอบแทน ฉ.11</t>
  </si>
  <si>
    <t xml:space="preserve">     ค่าตอบแทน ฉ.12</t>
  </si>
  <si>
    <t xml:space="preserve">     ค่าตอบแทน ฉ.11  ฉ.12</t>
  </si>
  <si>
    <t>F66</t>
  </si>
  <si>
    <t>F108</t>
  </si>
  <si>
    <t>F112</t>
  </si>
  <si>
    <t>F139</t>
  </si>
  <si>
    <t>F147</t>
  </si>
  <si>
    <t>งบประมาณ</t>
  </si>
  <si>
    <t>P29</t>
  </si>
  <si>
    <t>EBITDA-รายได้หักค่าใช้จ่ายไม่รวมค่าเสื่อม</t>
  </si>
  <si>
    <t>P40</t>
  </si>
  <si>
    <t>เติมตัวเลข</t>
  </si>
  <si>
    <t>P50</t>
  </si>
  <si>
    <t>P60</t>
  </si>
  <si>
    <t>แผนจัดซื้อยา</t>
  </si>
  <si>
    <t>ยา รวม</t>
  </si>
  <si>
    <t>วมย. รวม</t>
  </si>
  <si>
    <t>แผนจัดซื้อวัสดุอื่น</t>
  </si>
  <si>
    <t>แผนบริหารเจ้าหนี้</t>
  </si>
  <si>
    <t>เจ้าหนี้ยา</t>
  </si>
  <si>
    <t>เจ้าหนี้ วมย</t>
  </si>
  <si>
    <t>เจ้าหนี้ Lab</t>
  </si>
  <si>
    <t>เจ้าหนี้ตามจ่าย</t>
  </si>
  <si>
    <t>เจ้าหนี้ค่าแรง</t>
  </si>
  <si>
    <t>เจ้าหนี้ครุภัณฑ์ สิ่งก่อสร้าง</t>
  </si>
  <si>
    <t>เจ้าหนี้อื่น</t>
  </si>
  <si>
    <t>แผนบริหารลูกหนี้</t>
  </si>
  <si>
    <t>ลูกหนี้ UC</t>
  </si>
  <si>
    <t>ลูกหนี้ ประกันสังคม</t>
  </si>
  <si>
    <t>ลูกหนี้กรมบัญชีกลาง</t>
  </si>
  <si>
    <t>ลูกหนี้แรงงานต่างด้าว</t>
  </si>
  <si>
    <t>ลูกหนี้ อปท</t>
  </si>
  <si>
    <t>ลูกหนี้อื่น</t>
  </si>
  <si>
    <t>แผนการลงทุนเพิ่ม</t>
  </si>
  <si>
    <t>ซื้อจ้างด้วยเงินบำรุง รพ.</t>
  </si>
  <si>
    <t>ซื้อจ้างด้วยเงินค่าเสื่อม รพ.</t>
  </si>
  <si>
    <t>ซื้อด้วยเงินงบประมาณ รพ.</t>
  </si>
  <si>
    <t>แผนสนับสนุน รพ.สต.</t>
  </si>
  <si>
    <t>Fixed Cost ประกาศกระทรวง</t>
  </si>
  <si>
    <t>รายการอื่น</t>
  </si>
  <si>
    <t>ค่าเสื่อม รพ.สต.</t>
  </si>
  <si>
    <t>Ø PP Basic service UC</t>
  </si>
  <si>
    <t>Ø PP Basic service Non UC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</si>
  <si>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</si>
  <si>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</si>
  <si>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</si>
  <si>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</si>
  <si>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</si>
  <si>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</si>
  <si>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</si>
  <si>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</si>
  <si>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</si>
  <si>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</si>
  <si>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[1]</t>
  </si>
  <si>
    <t>[2]</t>
  </si>
  <si>
    <t>[3]</t>
  </si>
  <si>
    <t>[4]</t>
  </si>
  <si>
    <t>[5] = [3] x 20%</t>
  </si>
  <si>
    <t>[6]</t>
  </si>
  <si>
    <t>[7]=[6]/[3]x100</t>
  </si>
  <si>
    <t>[8]=[5-6]</t>
  </si>
  <si>
    <t>[9]</t>
  </si>
  <si>
    <t>[10]</t>
  </si>
  <si>
    <t>[11]=[2]/12</t>
  </si>
  <si>
    <t>[12] =[9]/[11]</t>
  </si>
  <si>
    <t>[14]=[M]/[11]*100</t>
  </si>
  <si>
    <t>[15] = [3]ค่าบวก Normal, ค่าลบ Risk</t>
  </si>
  <si>
    <t>[16] =[8] ค่าบวก Normal, ค่าลบ Risk</t>
  </si>
  <si>
    <t>[17] = [14]&gt;1 "Normal" &lt;1"Risk)</t>
  </si>
  <si>
    <t>รวมรายได้ (ไม่รวมงบลงทุน)</t>
  </si>
  <si>
    <t>รวมค่าใช้จ่าย (ไม่รวมค่าเสื่อมราคาและค่าตัดจำหน่าย)</t>
  </si>
  <si>
    <t xml:space="preserve">EBITDA </t>
  </si>
  <si>
    <t>สรุปแผนประมาณการ</t>
  </si>
  <si>
    <t>วงเงินที่ลงทุนได้(ร้อยละ 20%ของ EBITDA)</t>
  </si>
  <si>
    <t>จัดซื้อ/จัดหาด้วยเงินบำรุงของ รพ. ปี 2560</t>
  </si>
  <si>
    <t>สัดส่วนการลงทุน</t>
  </si>
  <si>
    <t>งบลงทุน (เงินบำรุง)  เปรียบเทียบกับ EBITDA &gt;20%</t>
  </si>
  <si>
    <t>รายจ่ายเฉลี่ยต่อเดือน</t>
  </si>
  <si>
    <t>อัตราส่วน NWC ต่อรายจ่าย:เดือน</t>
  </si>
  <si>
    <t xml:space="preserve"> NWC เหลือหลังลงทุน&gt;20%EBITDA</t>
  </si>
  <si>
    <t>อัคราส่วน NWC เหลือเหลือหลังลงทุน&gt;20%EBITDAต่อรายจ่าย:เดือน</t>
  </si>
  <si>
    <t>Risk EBITDA</t>
  </si>
  <si>
    <t>Risk Investment &gt;20% EBITDA</t>
  </si>
  <si>
    <t>Risk NWC เหลือต่อรายจ่าย:เดือน</t>
  </si>
  <si>
    <t>PlanFin แบบ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</si>
  <si>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</si>
  <si>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</si>
  <si>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</si>
  <si>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</si>
  <si>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</si>
  <si>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</si>
  <si>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</si>
  <si>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</si>
  <si>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</si>
  <si>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</si>
  <si>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</si>
  <si>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</si>
  <si>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</si>
  <si>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</si>
  <si>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</si>
  <si>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t xml:space="preserve">&gt;20%  Risk </t>
  </si>
  <si>
    <t xml:space="preserve">  Normal </t>
  </si>
  <si>
    <t xml:space="preserve"> Normal</t>
  </si>
  <si>
    <t>Normal</t>
  </si>
  <si>
    <t xml:space="preserve"> ไม่ต้องปรับ</t>
  </si>
  <si>
    <t>Risk</t>
  </si>
  <si>
    <t xml:space="preserve"> ทบทวนการลงทุนอีกครั้ง </t>
  </si>
  <si>
    <r>
      <t xml:space="preserve"> </t>
    </r>
    <r>
      <rPr>
        <sz val="14"/>
        <color rgb="FFFF0000"/>
        <rFont val="TH SarabunPSK"/>
        <family val="2"/>
      </rPr>
      <t>Risk</t>
    </r>
  </si>
  <si>
    <t>ทบทวนการลงทุนอีกครั้ง ทำFeasibility study</t>
  </si>
  <si>
    <t xml:space="preserve"> ปรับลดการลงทุนให้ &lt; 20% EBITDA เพื่อเงินเหลือจาก EBITDA – ลงทุนจะไปเพิ่ม NWC  ทำ Feasibility study</t>
  </si>
  <si>
    <r>
      <t xml:space="preserve"> </t>
    </r>
    <r>
      <rPr>
        <sz val="14"/>
        <color rgb="FF000000"/>
        <rFont val="TH SarabunPSK"/>
        <family val="2"/>
      </rPr>
      <t>Normal</t>
    </r>
  </si>
  <si>
    <t>ปรับ EBITDA ให้เป็น +</t>
  </si>
  <si>
    <t xml:space="preserve"> Risk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</si>
  <si>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</si>
  <si>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</si>
  <si>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</si>
  <si>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เงินตอบแทนอื่น ๆ พตส. </t>
  </si>
  <si>
    <t>งบบุคลากร L1 (Controlable)</t>
  </si>
  <si>
    <t>งบบุคลากร L0 (Uncontrolable)</t>
  </si>
  <si>
    <t>ค่าจ้างตรวจ X-Ray</t>
  </si>
  <si>
    <t>ค่าเสื่อมราคมและค่าตัดจำหน่าย</t>
  </si>
  <si>
    <t>ค่าเสื่อมราคาอาคาร</t>
  </si>
  <si>
    <t>ค่าเสื่อมราคาครุภัณฑ์</t>
  </si>
  <si>
    <t>ค่าตัดจำหน่าย</t>
  </si>
  <si>
    <t>แผนสำรองฉุกเฉิน/ชำระหนี้</t>
  </si>
  <si>
    <t>เบิกจ่ายตรง อปท.</t>
  </si>
  <si>
    <t>ตรวจสอบข้อมูล กับ Sheet บันทึก</t>
  </si>
  <si>
    <t>ถ้าถูกต้อง ต้องเป็น 0</t>
  </si>
  <si>
    <t>ค่าจ้างตรวจทางห้องปฏิบัติการ/X-Ray</t>
  </si>
  <si>
    <t>LC</t>
  </si>
  <si>
    <t>OC</t>
  </si>
  <si>
    <t>CC</t>
  </si>
  <si>
    <t>41 43</t>
  </si>
  <si>
    <t>13 14</t>
  </si>
  <si>
    <t>11 17:20 26</t>
  </si>
  <si>
    <t>15 23</t>
  </si>
  <si>
    <t>21 27 28 29</t>
  </si>
  <si>
    <t>44 49 52 57</t>
  </si>
  <si>
    <t>Code</t>
  </si>
  <si>
    <t>code</t>
  </si>
  <si>
    <t>P04C</t>
  </si>
  <si>
    <t>F67</t>
  </si>
  <si>
    <t>F88</t>
  </si>
  <si>
    <t>F21</t>
  </si>
  <si>
    <t>F60</t>
  </si>
  <si>
    <t>F61</t>
  </si>
  <si>
    <t>F25,26</t>
  </si>
  <si>
    <t>F30</t>
  </si>
  <si>
    <t>F83</t>
  </si>
  <si>
    <t>F14</t>
  </si>
  <si>
    <t>F28</t>
  </si>
  <si>
    <t>F56</t>
  </si>
  <si>
    <t>F101</t>
  </si>
  <si>
    <t>F103</t>
  </si>
  <si>
    <t>F109</t>
  </si>
  <si>
    <t>F122</t>
  </si>
  <si>
    <t>รายได้แผ่นดิน-ค่าขายของเบ็ดเตล็ด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</si>
  <si>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</si>
  <si>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</si>
  <si>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</si>
  <si>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</si>
  <si>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</si>
  <si>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</si>
  <si>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</si>
  <si>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</si>
  <si>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</si>
  <si>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</si>
  <si>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</si>
  <si>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</si>
  <si>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</si>
  <si>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</si>
  <si>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</si>
  <si>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</si>
  <si>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</si>
  <si>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4301020104.805</t>
  </si>
  <si>
    <t>4301020104.806</t>
  </si>
  <si>
    <t>4301020104.807</t>
  </si>
  <si>
    <t>4301020104.808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</si>
  <si>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</si>
  <si>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</si>
  <si>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</si>
  <si>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</si>
  <si>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รายได้กองทุน UC - OP แบบเหมาจ่ายต่อผู้มีสิทธิ</t>
  </si>
  <si>
    <t>รายได้กองทุน UC - P&amp;P แบบเหมาจ่ายต่อผู้มีสิทธิ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</si>
  <si>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</si>
  <si>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</si>
  <si>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</si>
  <si>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</si>
  <si>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</si>
  <si>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</si>
  <si>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4301020105.251</t>
  </si>
  <si>
    <t>4301020105.252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</si>
  <si>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</si>
  <si>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</si>
  <si>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</si>
  <si>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</si>
  <si>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</si>
  <si>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</si>
  <si>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</si>
  <si>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</si>
  <si>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</si>
  <si>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</si>
  <si>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</si>
  <si>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</si>
  <si>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</si>
  <si>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</si>
  <si>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</si>
  <si>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</si>
  <si>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</si>
  <si>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</si>
  <si>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</si>
  <si>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</si>
  <si>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</si>
  <si>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</si>
  <si>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</si>
  <si>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</si>
  <si>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4301020106.321</t>
  </si>
  <si>
    <t>4301020106.322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</si>
  <si>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</si>
  <si>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</si>
  <si>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</si>
  <si>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</si>
  <si>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</si>
  <si>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</si>
  <si>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</si>
  <si>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4301020106.512</t>
  </si>
  <si>
    <t>4301020106.513</t>
  </si>
  <si>
    <t>รายได้ค่ารักษาแรงงานต่างด้าว IP นอก CUP</t>
  </si>
  <si>
    <t>4301020106.514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</si>
  <si>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</si>
  <si>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</si>
  <si>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</si>
  <si>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</si>
  <si>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</si>
  <si>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</si>
  <si>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</si>
  <si>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</si>
  <si>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</si>
  <si>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</si>
  <si>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</si>
  <si>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</si>
  <si>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</si>
  <si>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</si>
  <si>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</si>
  <si>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</si>
  <si>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</si>
  <si>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</si>
  <si>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</si>
  <si>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</si>
  <si>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</si>
  <si>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</si>
  <si>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</si>
  <si>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</si>
  <si>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</si>
  <si>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รายได้ดอกเบี้ยจากสถาบันการเงิน</t>
  </si>
  <si>
    <t>4306010110.102</t>
  </si>
  <si>
    <t>รายรับจากการขายวัสดุที่ใช้แล้ว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</si>
  <si>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</si>
  <si>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</si>
  <si>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</si>
  <si>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</si>
  <si>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</si>
  <si>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</si>
  <si>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</si>
  <si>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</si>
  <si>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</si>
  <si>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</si>
  <si>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</si>
  <si>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</si>
  <si>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</si>
  <si>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</si>
  <si>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</si>
  <si>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</si>
  <si>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รายได้ระหว่างกัน-ภายในกรมเดียวกัน</t>
  </si>
  <si>
    <t>รายได้อื่น-วัสดุรับโอนจาก สสจ./รพศ./รพท./รพช./รพ.สต.</t>
  </si>
  <si>
    <t>เงินค่าตอบแทนพนักงานราชการ (บริการ)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</si>
  <si>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</si>
  <si>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</si>
  <si>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</si>
  <si>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</si>
  <si>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</si>
  <si>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</si>
  <si>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</si>
  <si>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</si>
  <si>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</si>
  <si>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</si>
  <si>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</si>
  <si>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</si>
  <si>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5101020115.101</t>
  </si>
  <si>
    <t>ค่าตอบแทนพิเศษชายแดนภาคใต้ (บริการ)</t>
  </si>
  <si>
    <t>เงินเพิ่มสำหรับตำแหน่งที่มีเหตุพิเศษ  (บริการ)</t>
  </si>
  <si>
    <t>เงินเพิ่มสำหรับตำแหน่งที่มีเหตุพิเศษ  (สนับสนุน)</t>
  </si>
  <si>
    <t>5101030206.101</t>
  </si>
  <si>
    <t>เงินช่วยเหลือค่ารักษาพยาบาลตามกฎหมายสงเคราะห์ข้าราชการ</t>
  </si>
  <si>
    <t>5101040205.101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</si>
  <si>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</si>
  <si>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</si>
  <si>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</si>
  <si>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</si>
  <si>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</si>
  <si>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</si>
  <si>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</si>
  <si>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</si>
  <si>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</si>
  <si>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ค่าจ้างเหมาบำรุงรักษาครุภัณฑ์วิทยาศาสตร์และการแพทย์</t>
  </si>
  <si>
    <t>5104010110.101</t>
  </si>
  <si>
    <t>ค่าเชื้อเพลิง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</si>
  <si>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</si>
  <si>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</si>
  <si>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</si>
  <si>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</si>
  <si>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</si>
  <si>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วัสดุคอมพิวเตอร์ใช้ไป</t>
  </si>
  <si>
    <t>5104030205.118</t>
  </si>
  <si>
    <t>วัสดุเอกซเรย์ใช้ไป</t>
  </si>
  <si>
    <t>ค่าครุภัณฑ์มูลค่าต่ำกว่าเกณฑ์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</si>
  <si>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</si>
  <si>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</si>
  <si>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</si>
  <si>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</si>
  <si>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</si>
  <si>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</si>
  <si>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</si>
  <si>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</si>
  <si>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</si>
  <si>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</si>
  <si>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</si>
  <si>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</si>
  <si>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</si>
  <si>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</si>
  <si>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</si>
  <si>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</si>
  <si>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</si>
  <si>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</si>
  <si>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</si>
  <si>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</si>
  <si>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</si>
  <si>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</si>
  <si>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หนี้สงสัยจะสูญ-ลูกหนี้ค่ารักษา-ชำระเงิน OP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</si>
  <si>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</si>
  <si>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</si>
  <si>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</si>
  <si>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</si>
  <si>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</si>
  <si>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</si>
  <si>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</si>
  <si>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</si>
  <si>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</si>
  <si>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ค่าใช้จ่ายระหว่างกัน-ภายในกรมเดียวกัน</t>
  </si>
  <si>
    <t>5211010102.101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</si>
  <si>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</si>
  <si>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</si>
  <si>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F137</t>
  </si>
  <si>
    <t>F128</t>
  </si>
  <si>
    <t>F132</t>
  </si>
  <si>
    <t>F148</t>
  </si>
  <si>
    <t>F141</t>
  </si>
  <si>
    <t>F159</t>
  </si>
  <si>
    <t>ผลต่าง รวมรายได้-รายได้จากแบบบันทึก</t>
  </si>
  <si>
    <t>ผลต่าง รวมรายจ่าย-รายจ่ายจากแบบบันทึก</t>
  </si>
  <si>
    <t>F123</t>
  </si>
  <si>
    <t>หนี้ยกมา</t>
  </si>
  <si>
    <t>ก่อหนี้ในปี</t>
  </si>
  <si>
    <t>แผนชำระหนี้</t>
  </si>
  <si>
    <t>คงคลังยกมา</t>
  </si>
  <si>
    <t>จัดซื้อในปี</t>
  </si>
  <si>
    <t>ทุนสำรองสุทธิ (NWC) ณ 30 ก.ย. 61</t>
  </si>
  <si>
    <t>หนี้สินและภาระผูกพัน ณ 30 ก.ย. 61</t>
  </si>
  <si>
    <t>มูลค่าใช้ไปในปี(แผน)</t>
  </si>
  <si>
    <t>ประมาณชำระหนี้ 61</t>
  </si>
  <si>
    <t>ลูกหนี้ยกมา</t>
  </si>
  <si>
    <t>ลูกหนี้ในปี</t>
  </si>
  <si>
    <t>ลูกหนี้ยกไป</t>
  </si>
  <si>
    <t>รายได้ค่ารักษา อปท.</t>
  </si>
  <si>
    <t>P07L</t>
  </si>
  <si>
    <t>ต้นทุนวัสดุทันตกรรม</t>
  </si>
  <si>
    <t>ต้นทุน วมย. /วัสดุการแพทย์</t>
  </si>
  <si>
    <t>P15D</t>
  </si>
  <si>
    <t>หนี้สูญและสงสัยจะสูญ</t>
  </si>
  <si>
    <t>P24D</t>
  </si>
  <si>
    <t>วัสดุวิทย์</t>
  </si>
  <si>
    <t>R1</t>
  </si>
  <si>
    <t>R7</t>
  </si>
  <si>
    <t>R6</t>
  </si>
  <si>
    <t>R9</t>
  </si>
  <si>
    <t>R10</t>
  </si>
  <si>
    <t>R11</t>
  </si>
  <si>
    <t>R12</t>
  </si>
  <si>
    <t>R13</t>
  </si>
  <si>
    <t>R15</t>
  </si>
  <si>
    <t>Ø PP Fee Schedule</t>
  </si>
  <si>
    <t>กองทุน UC PP อื่น</t>
  </si>
  <si>
    <t>R14</t>
  </si>
  <si>
    <t>Ø ค่ารักษา UC-OP-CR</t>
  </si>
  <si>
    <t>Ø ค่ารักษา UC-IP-CR</t>
  </si>
  <si>
    <t>R16</t>
  </si>
  <si>
    <t>R17</t>
  </si>
  <si>
    <t>R18</t>
  </si>
  <si>
    <t>Ø กองทุนบริการจัดการโรคเฉพาะ อื่น</t>
  </si>
  <si>
    <t>►งบรักษาพยาบาล กลุ่ม CA</t>
  </si>
  <si>
    <t>►บริการทันตกรรมสำหรับ ปากแหว่างเพดานโหว่</t>
  </si>
  <si>
    <t>►บริการเฉพาะโรค อื่น ๆ</t>
  </si>
  <si>
    <t>R23</t>
  </si>
  <si>
    <t>2.6 รายได้กองทุน UC อื่น</t>
  </si>
  <si>
    <t>Ø PPA เขต จว.</t>
  </si>
  <si>
    <t>R25</t>
  </si>
  <si>
    <t>งบตามเกณฑ์คุณภาพบริการ QOF</t>
  </si>
  <si>
    <t xml:space="preserve">Ø PP QOF </t>
  </si>
  <si>
    <t>R36</t>
  </si>
  <si>
    <t>2.7 กองทุน UC สนับสนุนอื่น</t>
  </si>
  <si>
    <t>2.8 รายได้จากการเรียกเก็บ</t>
  </si>
  <si>
    <t>R37</t>
  </si>
  <si>
    <t>R38</t>
  </si>
  <si>
    <t>R39</t>
  </si>
  <si>
    <t>R40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</si>
  <si>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</si>
  <si>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</si>
  <si>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</si>
  <si>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</si>
  <si>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</si>
  <si>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</si>
  <si>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</si>
  <si>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</si>
  <si>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</si>
  <si>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</si>
  <si>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</si>
  <si>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</si>
  <si>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</si>
  <si>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</si>
  <si>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</si>
  <si>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</si>
  <si>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</si>
  <si>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รายได้จากการได้รับการสนับสนุนยาและอื่น ๆ</t>
  </si>
  <si>
    <t>Ø มูลค่าการได้รับการสนับสนุนยาและอื่น ๆ</t>
  </si>
  <si>
    <t>R41</t>
  </si>
  <si>
    <t>R59</t>
  </si>
  <si>
    <t>1.3 งบประมาณงบลงทุนจากภาครัฐ</t>
  </si>
  <si>
    <t>R5</t>
  </si>
  <si>
    <t>Link จากงบทดลอง</t>
  </si>
  <si>
    <t>Øเงินตอบแทน ฉ 11</t>
  </si>
  <si>
    <t>Øเงินตอบแทน ฉ 12</t>
  </si>
  <si>
    <t>Øเงินตอบแทน พตส.</t>
  </si>
  <si>
    <t>E1</t>
  </si>
  <si>
    <t>E2</t>
  </si>
  <si>
    <t>E3</t>
  </si>
  <si>
    <t>E4</t>
  </si>
  <si>
    <t>E5</t>
  </si>
  <si>
    <t>Øค่าจ้างประจำและค่าครองชีพ</t>
  </si>
  <si>
    <t>Øเงินเดือนข้าราชการและค่าครองชีพ</t>
  </si>
  <si>
    <t>Øเงินเดือน พ.ราชการและค่าครองชีพ</t>
  </si>
  <si>
    <t>E71</t>
  </si>
  <si>
    <t>E72</t>
  </si>
  <si>
    <t>E8</t>
  </si>
  <si>
    <t>E611</t>
  </si>
  <si>
    <t>E621</t>
  </si>
  <si>
    <t>E612</t>
  </si>
  <si>
    <t>E622</t>
  </si>
  <si>
    <t>Øเงินตอบแทนอื่น ๆ +กบข. กสจ.</t>
  </si>
  <si>
    <t>E9</t>
  </si>
  <si>
    <t>E10</t>
  </si>
  <si>
    <t>E11</t>
  </si>
  <si>
    <t>E14</t>
  </si>
  <si>
    <t>E15</t>
  </si>
  <si>
    <t>E16</t>
  </si>
  <si>
    <t>E12</t>
  </si>
  <si>
    <t>ค่าไม่ทำเวชปฏิบัติและสาขาส่งเสริมพิเศษ</t>
  </si>
  <si>
    <t>E17</t>
  </si>
  <si>
    <t>E18</t>
  </si>
  <si>
    <t>E19</t>
  </si>
  <si>
    <t>E20</t>
  </si>
  <si>
    <t>จ้างเหมาบริการทางการแพทย์</t>
  </si>
  <si>
    <t>จ้างเหมาอื่น</t>
  </si>
  <si>
    <t>E211</t>
  </si>
  <si>
    <t>E212</t>
  </si>
  <si>
    <t>E213</t>
  </si>
  <si>
    <t>E22</t>
  </si>
  <si>
    <t>E23</t>
  </si>
  <si>
    <t>E24</t>
  </si>
  <si>
    <t>E25</t>
  </si>
  <si>
    <t>E261</t>
  </si>
  <si>
    <t>E262</t>
  </si>
  <si>
    <t>E263</t>
  </si>
  <si>
    <t>E264</t>
  </si>
  <si>
    <t>E265</t>
  </si>
  <si>
    <t>E266</t>
  </si>
  <si>
    <t>E267</t>
  </si>
  <si>
    <t>E268</t>
  </si>
  <si>
    <t>E269</t>
  </si>
  <si>
    <t>E2610</t>
  </si>
  <si>
    <t>E2611</t>
  </si>
  <si>
    <t>E29</t>
  </si>
  <si>
    <t>E30</t>
  </si>
  <si>
    <t>E31</t>
  </si>
  <si>
    <t>E32</t>
  </si>
  <si>
    <t>ค่าครุภัณฑ์ต่ำกว่าเกณฑ์</t>
  </si>
  <si>
    <t>E27</t>
  </si>
  <si>
    <t>E33</t>
  </si>
  <si>
    <t>E34</t>
  </si>
  <si>
    <t>E35</t>
  </si>
  <si>
    <t>โครงการส่งเสริมป้องกัน(เงินบำรุง/PP)</t>
  </si>
  <si>
    <t>โครงการพัฒนาบุคลากร สัมมนา (เงินบำรุง/PP)</t>
  </si>
  <si>
    <t>โครงการอื่น ๆ  (เงินบำรุง)</t>
  </si>
  <si>
    <t>E36</t>
  </si>
  <si>
    <t>E37</t>
  </si>
  <si>
    <t>E38</t>
  </si>
  <si>
    <t>UC ในสังกัด สป.สธ</t>
  </si>
  <si>
    <t>UC นอกสังกัด สป.สธ</t>
  </si>
  <si>
    <t>ตามจ่ายค่ารักษาสิทธิอื่น</t>
  </si>
  <si>
    <t>สนับสนุน สสอ./รพ.สต./อื่น ๆ</t>
  </si>
  <si>
    <t>E39</t>
  </si>
  <si>
    <t>E42</t>
  </si>
  <si>
    <t>E40</t>
  </si>
  <si>
    <t>E41</t>
  </si>
  <si>
    <t>E43</t>
  </si>
  <si>
    <t>E44</t>
  </si>
  <si>
    <t>ค่าใช้จ่ายงบกลาง จากเงินงบประมาณ</t>
  </si>
  <si>
    <t>ดุลแผน รายได้ - ค่าใช้ข่าย NI</t>
  </si>
  <si>
    <t>งบประมาณ งบลงทุน Non UC</t>
  </si>
  <si>
    <t xml:space="preserve">Ø PP Basic service </t>
  </si>
  <si>
    <t>เป็นค่าจ้างแผนไทย</t>
  </si>
  <si>
    <t>มีโครงการ</t>
  </si>
  <si>
    <t>2.6 กองทุน UC อื่น</t>
  </si>
  <si>
    <t>Ø บริการแพทย์แผนไทย</t>
  </si>
  <si>
    <t>Ø บริการฟื้นฟูสมรรถภาพด้านการแพทย์</t>
  </si>
  <si>
    <t>Ø บริการ HIV&amp;AIDS และ TB</t>
  </si>
  <si>
    <t>Ø บริการ ไตวายเรื้อรัง</t>
  </si>
  <si>
    <t>Ø ป้องกันควบคุมโรคเรื้อรัง</t>
  </si>
  <si>
    <t>Ø บริการ LTC</t>
  </si>
  <si>
    <t>Ø กองทุน PCC</t>
  </si>
  <si>
    <t>Ø Hard Ship</t>
  </si>
  <si>
    <t>Ø CF</t>
  </si>
  <si>
    <t>Ø กำลังคนด้านสาธารณสุข</t>
  </si>
  <si>
    <t>Ø ในจังหวัด</t>
  </si>
  <si>
    <t>Ø ต่างจังหวัด</t>
  </si>
  <si>
    <t>Ø ต่างสังกัด</t>
  </si>
  <si>
    <t>Ø บริการ อื่น</t>
  </si>
  <si>
    <t>ต่าง CUP นอกจังหวัดและต่างสังกัด</t>
  </si>
  <si>
    <t>รายได้จากการรับการสนับสนุนยาและอื่น ๆ</t>
  </si>
  <si>
    <t xml:space="preserve">PP Basic service </t>
  </si>
  <si>
    <t xml:space="preserve"> PP Fee Schedule</t>
  </si>
  <si>
    <t xml:space="preserve"> PPA เขต จว.</t>
  </si>
  <si>
    <t xml:space="preserve"> PP QOF </t>
  </si>
  <si>
    <t xml:space="preserve"> PP ชุมชน(อปท.45)</t>
  </si>
  <si>
    <t xml:space="preserve"> OP QOF </t>
  </si>
  <si>
    <t>Ø งบค่าเสื่อม สัดส่วนของจังหวัด/เขต/กระทรวง 30%</t>
  </si>
  <si>
    <t>Ø งบค่าเสื่อม สัดส่วน CUP 70%</t>
  </si>
  <si>
    <t>ป้องกันควบคุมโรคเรื้อรัง</t>
  </si>
  <si>
    <t>บริการ LTC</t>
  </si>
  <si>
    <t>กองทุน PCC</t>
  </si>
  <si>
    <t>การเรียกเก็บ นค</t>
  </si>
  <si>
    <t>ตามการจัดสรร</t>
  </si>
  <si>
    <t>จ่ายล่วงหน้า หักคืนจากการจัดสรร</t>
  </si>
  <si>
    <t>จ่ายล่วงหน้า หักคืนจากผลงาน</t>
  </si>
  <si>
    <t>จ่ายล่วงหน้า หักคืนจากเงินงวด</t>
  </si>
  <si>
    <t>ข้อมูลในบัญชีหมวด 2</t>
  </si>
  <si>
    <t>ข้อมูลในบัญชีหมวด 1</t>
  </si>
  <si>
    <t>เงินรับฝากกองทุน UC (งบลงทุน)</t>
  </si>
  <si>
    <t>เงินรับฝากกองทุน UC วัสดุ</t>
  </si>
  <si>
    <t>เงินรับฝากกองทุน UC -Fixed Cost</t>
  </si>
  <si>
    <t>เงินรับฝากกองทุน UC -นอกเหนือ Fixed  Cost</t>
  </si>
  <si>
    <t>เงินฝากธนาคาร-นอกงบประมาณรอการจัดสรรออมทรัพย์</t>
  </si>
  <si>
    <t>ลดลงตามจำนวนที่โอนไปลูกข่าย</t>
  </si>
  <si>
    <t>ลดลงตามมูลค่าเบิกยาจากคลัง</t>
  </si>
  <si>
    <t>ลดลงตามการโอนรายงวด</t>
  </si>
  <si>
    <t>OP Visit</t>
  </si>
  <si>
    <t>รายได้ต่อ 1 visit</t>
  </si>
  <si>
    <t>รายได้รวม</t>
  </si>
  <si>
    <t>ส่วนต่าง</t>
  </si>
  <si>
    <t>บันทึก Visit</t>
  </si>
  <si>
    <t>OPD</t>
  </si>
  <si>
    <t>รายได้ค่ารักษาเบิกจ่ายตรง อปท.</t>
  </si>
  <si>
    <t>รวมรายได้ OPD</t>
  </si>
  <si>
    <t>IPD</t>
  </si>
  <si>
    <t>รวมรายได้ IPD</t>
  </si>
  <si>
    <t>ข้อมูลจากต้นทุน อ.ถาวร</t>
  </si>
  <si>
    <t>F81</t>
  </si>
  <si>
    <t>F63</t>
  </si>
  <si>
    <t>F64</t>
  </si>
  <si>
    <t>F72</t>
  </si>
  <si>
    <t>F75</t>
  </si>
  <si>
    <t>F18</t>
  </si>
  <si>
    <t>F53</t>
  </si>
  <si>
    <t>F54</t>
  </si>
  <si>
    <t>F55</t>
  </si>
  <si>
    <t>F37</t>
  </si>
  <si>
    <t>F23+24</t>
  </si>
  <si>
    <t>4301020104.108</t>
  </si>
  <si>
    <t>4301020104.109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</si>
  <si>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</si>
  <si>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</si>
  <si>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</si>
  <si>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</si>
  <si>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รายได้ค่ารักษาเบิกจ่ายตรง- อปท.รูปแบบพิเศษ IP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</si>
  <si>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</si>
  <si>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</si>
  <si>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 xml:space="preserve">รายได้กองทุน UC-OP ตามเกณฑ์คุณภาพผลงานบริการ
</t>
  </si>
  <si>
    <t>รายได้กองทุน UC-P&amp;P อื่น</t>
  </si>
  <si>
    <t>รายได้ค่ารักษา UC - IP  บริการกรณีเฉพาะ (CR)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</si>
  <si>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</si>
  <si>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</si>
  <si>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ส่วนต่างค่ารักษาที่สูงกว่าข้อตกลงในการจ่ายตาม กองทุนประกันสังคม</t>
  </si>
  <si>
    <t xml:space="preserve">ส่วนต่างค่ารักษาที่ต่ำกว่าข้อตกลงในการจ่ายตาม กองทุนประกันสังคม 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</si>
  <si>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</si>
  <si>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</si>
  <si>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รายได้อื่น-เงินงบประมาณงบดำเนินงานรับโอนจาก สสจ./รพศ./รพท./รพช. / รพ.สต.</t>
  </si>
  <si>
    <t>เงินค่าตอบแทนพนักงานราชการ (สนับสนุน)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</si>
  <si>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</si>
  <si>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</si>
  <si>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</si>
  <si>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</si>
  <si>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ค่าตอบแทนตามผลการปฏิบัติงาน (บริการ) - เงินงบประมาณ</t>
  </si>
  <si>
    <t>ค่าตอบแทนตามผลการปฏิบัติงาน (สนับสนุน) - เงินงบประมาณ</t>
  </si>
  <si>
    <t>ค่าตอบแทนตามผลการปฏิบัติงาน (บริการ) - เงินนอกงบประมาณ</t>
  </si>
  <si>
    <t>ค่าตอบแทนตามผลการปฏิบัติงาน (สนับสนุน)  - เงินนอกงบประมาณ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</si>
  <si>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</si>
  <si>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</si>
  <si>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5101020116.101</t>
  </si>
  <si>
    <t>5101020116.102</t>
  </si>
  <si>
    <t>ค่าใช้จ่ายด้านการฝึกอบรม-ในประเทศ (เงินงบประมาณ)</t>
  </si>
  <si>
    <t>5102010199.102</t>
  </si>
  <si>
    <t>5102030199.102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</si>
  <si>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</si>
  <si>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</si>
  <si>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</si>
  <si>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</si>
  <si>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</si>
  <si>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</si>
  <si>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</si>
  <si>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</si>
  <si>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</si>
  <si>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ค่าใช้จ่ายตามโครงการ (UC) (PP)</t>
  </si>
  <si>
    <t>5104030299.105</t>
  </si>
  <si>
    <t>ค่ารักษาตามจ่าย UC ในสังกัด สป. สธ.</t>
  </si>
  <si>
    <t>หนี้สูญ-ลูกหนี้ค่ารักษา UC -OP นอก CUP (ในจังหวัด)</t>
  </si>
  <si>
    <t>5112010103.101</t>
  </si>
  <si>
    <t>ค่าสวัสดิการสังคม-อื่น</t>
  </si>
  <si>
    <t>F19</t>
  </si>
  <si>
    <t>F40</t>
  </si>
  <si>
    <t>F27</t>
  </si>
  <si>
    <t>F69</t>
  </si>
  <si>
    <t>F78</t>
  </si>
  <si>
    <t>F15</t>
  </si>
  <si>
    <t>F5+6+7+8+9+51</t>
  </si>
  <si>
    <t>F10+11+12+13</t>
  </si>
  <si>
    <t>F93</t>
  </si>
  <si>
    <t>F94</t>
  </si>
  <si>
    <t>F95</t>
  </si>
  <si>
    <t>F96</t>
  </si>
  <si>
    <t>F97</t>
  </si>
  <si>
    <t>F100</t>
  </si>
  <si>
    <t>F107</t>
  </si>
  <si>
    <t>F99</t>
  </si>
  <si>
    <t>F98</t>
  </si>
  <si>
    <t>F121</t>
  </si>
  <si>
    <t>F111</t>
  </si>
  <si>
    <t>F120</t>
  </si>
  <si>
    <t>F124</t>
  </si>
  <si>
    <t>F129</t>
  </si>
  <si>
    <t>F146</t>
  </si>
  <si>
    <t>F134</t>
  </si>
  <si>
    <t>F150+151+152</t>
  </si>
  <si>
    <t>F153</t>
  </si>
  <si>
    <t>F155</t>
  </si>
  <si>
    <t>F156</t>
  </si>
  <si>
    <t>F157</t>
  </si>
  <si>
    <t>F160+165</t>
  </si>
  <si>
    <t>F164</t>
  </si>
  <si>
    <t>F163</t>
  </si>
  <si>
    <t>F162</t>
  </si>
  <si>
    <t>F49</t>
  </si>
  <si>
    <t>F50+51</t>
  </si>
  <si>
    <t>เจ้าหนี้ วัสดุทันตกรรม</t>
  </si>
  <si>
    <t>เจ้าหนี้วัสดุอื่น</t>
  </si>
  <si>
    <t>ลูกหนี้เบิกต้นสังกัด</t>
  </si>
  <si>
    <t>นาเยีย</t>
  </si>
  <si>
    <t>F86</t>
  </si>
  <si>
    <t>F118</t>
  </si>
  <si>
    <t>ครุภัณฑ์ต่ำกว่าเกณฑ์</t>
  </si>
  <si>
    <t>fixed Cost สป</t>
  </si>
  <si>
    <t>เมือง นอกเขตเทศบาลนคร</t>
  </si>
  <si>
    <t>เหล่าเสือโก้ก</t>
  </si>
  <si>
    <t>เขื่องใน</t>
  </si>
  <si>
    <t>ม่วงสามสิบ</t>
  </si>
  <si>
    <t>ดอนมดแดง</t>
  </si>
  <si>
    <t>ตาลสุม</t>
  </si>
  <si>
    <t>ศรีเมืองใหม่</t>
  </si>
  <si>
    <t>เขมราฐ</t>
  </si>
  <si>
    <t>นาตาล</t>
  </si>
  <si>
    <t>ตระการพืชผล</t>
  </si>
  <si>
    <t>กุดข้าวปุ้น</t>
  </si>
  <si>
    <t>โพธิ์ไทร</t>
  </si>
  <si>
    <t>โขงเจียม</t>
  </si>
  <si>
    <t>วารินชำราบ</t>
  </si>
  <si>
    <t>สว่างวีระวงศ์</t>
  </si>
  <si>
    <t>พิบูลมังสาหาร</t>
  </si>
  <si>
    <t>สำโรง</t>
  </si>
  <si>
    <t>สิรินธร</t>
  </si>
  <si>
    <t>นาจะหลวย</t>
  </si>
  <si>
    <t>น้ำยืน</t>
  </si>
  <si>
    <t>น้ำขุ่น</t>
  </si>
  <si>
    <t>บุณฑริก</t>
  </si>
  <si>
    <t>ทุ่งศรีอุดม</t>
  </si>
  <si>
    <t>เดชอุดม</t>
  </si>
  <si>
    <t>21984 ๕๐ พรรษา มหาวชิราลงกรณ์,รพท_</t>
  </si>
  <si>
    <t>11443 สมเด็จพระยุพราชเดชอุดม,รพท_</t>
  </si>
  <si>
    <t>10954 วารินชำราบ,รพท_</t>
  </si>
  <si>
    <t>10951 ตระการพืชผล,รพช_</t>
  </si>
  <si>
    <t>10956 พิบูลมังสาหาร,รพช_</t>
  </si>
  <si>
    <t>10946 เขื่องใน,รพช_</t>
  </si>
  <si>
    <t>10953 ม่วงสามสิบ,รพช_</t>
  </si>
  <si>
    <t>10947 เขมราฐ,รพช_</t>
  </si>
  <si>
    <t>10944 ศรีเมืองใหม่,รพช_</t>
  </si>
  <si>
    <t>10949 น้ำยืน,รพช_</t>
  </si>
  <si>
    <t>10950 บุณฑริก,รพช_</t>
  </si>
  <si>
    <t>10957 ตาลสุม,รพช_</t>
  </si>
  <si>
    <t>10960 ดอนมดแดง,รพช_</t>
  </si>
  <si>
    <t>10952 กุดข้าวปุ้น,รพช_</t>
  </si>
  <si>
    <t>10958 โพธิ์ไทร,รพช_</t>
  </si>
  <si>
    <t>10959 สำโรง,รพช_</t>
  </si>
  <si>
    <t>10961 สิรินธร,รพช_</t>
  </si>
  <si>
    <t>10945 โขงเจียม,รพช_</t>
  </si>
  <si>
    <t>10948 นาจะหลวย,รพช_</t>
  </si>
  <si>
    <t>10962 ทุ่งศรีอุดม,รพช_</t>
  </si>
  <si>
    <t>27976 เหล่าเสือโก้ก,รพช_</t>
  </si>
  <si>
    <t>24032 นาตาล,รพช_</t>
  </si>
  <si>
    <t>24821 นาเยีย,รพช_</t>
  </si>
  <si>
    <t>27967 สว่างวีระวงศ์,รพช_</t>
  </si>
  <si>
    <t>27968 น้ำขุ่น,รพช_</t>
  </si>
  <si>
    <t>10669 สรรพสิทธิประสงค์,รพศ_</t>
  </si>
  <si>
    <t>แผนเงินบำรุงโรงพยาบาล..................</t>
  </si>
  <si>
    <t>หมวดรายได้</t>
  </si>
  <si>
    <t>รายได้จาก UC</t>
  </si>
  <si>
    <t>1.1กองทุนผู้ป่วยนอก OP</t>
  </si>
  <si>
    <t>1.2กองทุนผู้ป่วยใน IP</t>
  </si>
  <si>
    <t>1.3กองทุนสร้างเสริมสุขภาพและป้องกันโรค PP</t>
  </si>
  <si>
    <t>1.4 กองทุนบริการกรณีเฉพาะ Central Reimburse</t>
  </si>
  <si>
    <t>1.5 งบค่าบริการทางการแพทย์ที่จ่ายในลักษณะการลงทุน</t>
  </si>
  <si>
    <t>1.6 กองทุน UC อื่น</t>
  </si>
  <si>
    <t>1.7 กองทุน UC สนับสนุนอื่น</t>
  </si>
  <si>
    <t>1.8 รายได้จากการเรียกเก็บ</t>
  </si>
  <si>
    <t>ปี 2565</t>
  </si>
  <si>
    <t>รวมลูกข่าย</t>
  </si>
  <si>
    <t>รวม op ที่ให้ลูกข่าย</t>
  </si>
  <si>
    <t>ลงทุนค่าเสื่อมราคา(งบค่าเสื่อม)</t>
  </si>
  <si>
    <t>แผนการพัฒนาโรงพยาบาล(เงินบำรุง)</t>
  </si>
  <si>
    <t xml:space="preserve">รายได้-ค่าใช้จ่าย </t>
  </si>
  <si>
    <t>เงินบำรุงคงเหลือยกมา 30 ก.ย. 64</t>
  </si>
  <si>
    <t>ประมาณการเงินบำรุงคงเหลือยกไป 30 กย. 65</t>
  </si>
  <si>
    <t>ปีงบประมาณ 2566</t>
  </si>
  <si>
    <t>ข้อมูลปี 2565</t>
  </si>
  <si>
    <t>ประมาณการปี 2566</t>
  </si>
  <si>
    <t>ปี 2566</t>
  </si>
  <si>
    <t>ลงชื่อ                                                                   ผู้อำนวยการ</t>
  </si>
  <si>
    <t>รายได้ค่าเช่าอสังหาริมทรัพย์จากบุคคลภายนอก</t>
  </si>
  <si>
    <t>รายได้เงินเหลือจ่ายปีเก่า/รายที่ไม่ใช่ภาษีอื่น</t>
  </si>
  <si>
    <t>4206010199.101</t>
  </si>
  <si>
    <t>บัญชีรายได้ที่ไม่ใช่ภาษีอื่น</t>
  </si>
  <si>
    <t>รายได้ค่ารักษาเบิกจ่ายตรง-หน่วยงานอื่น - OP</t>
  </si>
  <si>
    <t>รายได้ค่ารักษาเบิกจ่ายตรงหน่วยงานอื่น-IP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</si>
  <si>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</si>
  <si>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- อปท.</t>
  </si>
  <si>
    <t>ส่วนต่างค่ารักษาที่ต่ำกว่าข้อตกลงในการจ่ายตาม DRG -เบิกจ่ายตรง - อปท.</t>
  </si>
  <si>
    <t>รายได้ค่ารักษาเบิกจ่ายตรง - อปท.รูปแบบพิเศษ OP</t>
  </si>
  <si>
    <t>รายได้ค่ารักษา UC-OP นอกสังกัด สป.</t>
  </si>
  <si>
    <t>รายได้ค่ารักษา UC- OP บริการกรณีเฉพาะ (CR)</t>
  </si>
  <si>
    <t>ส่วนต่างค่ารักษาที่สูงกว่าข้อตกลงในการจ่ายตามDRG กองทุน UC           (บริการเฉพาะ) CR- IP</t>
  </si>
  <si>
    <t>ส่วนต่างค่ารักษาที่ต่ำกว่าข้อตกลงในการจ่ายตาม DRG กองทุน UC   (บริการเฉพาะ) CR- IP</t>
  </si>
  <si>
    <t>4301020105.267</t>
  </si>
  <si>
    <t>รายได้ค่าบริการสาธารณสุขสำหรับโรคติดเชื้อไวรัสโคโรนา - OP จาก สปสช.</t>
  </si>
  <si>
    <t>4301020105.268</t>
  </si>
  <si>
    <t>รายได้ค่าบริการสาธารณสุขสำหรับโรคติดเชื้อไวรัสโคโรนา - IP จาก สปสช.</t>
  </si>
  <si>
    <t>4301020105.269</t>
  </si>
  <si>
    <t>ส่วนต่างค่ารักษาที่ สูงกว่า ข้อตกลงในการจ่ายตาม DRG-COVID-19-IP จาก สปสช.</t>
  </si>
  <si>
    <t>4301020105.270</t>
  </si>
  <si>
    <t>ส่วนต่างค่ารักษาที่ ต่ำกว่า ข้อตกลงในการจ่ายตาม DRG-COVID-19-IP จาก สปสช.</t>
  </si>
  <si>
    <t>4301020106.309</t>
  </si>
  <si>
    <t>รายได้ค่ารักษาประกันสังคม OP-นอกเครือข่าย ต่างสังกัด สป.สธ.</t>
  </si>
  <si>
    <t>4301020106.310</t>
  </si>
  <si>
    <t>รายได้ค่ารักษาประกันสังคม IP-นอกเครือข่าย ต่างสังกัด สป.สธ.</t>
  </si>
  <si>
    <t>รายได้ค่ารักษาแรงงานต่างด้าว - เบิกจากส่วนกลาง OP</t>
  </si>
  <si>
    <t>ส่วนต่างค่ารักษาที่ต่ำกว่าข้อตกลงในการจ่ายตาม DRG - แรงงานต่างด้าว - IP</t>
  </si>
  <si>
    <t xml:space="preserve">รายได้ค่ารักษาแรงงานต่างด้าว OP  นอก CUP </t>
  </si>
  <si>
    <t>รายได้ค่ารักษาแรงงานต่างด้าว - เบิกจากส่วนกลาง IP</t>
  </si>
  <si>
    <t>รายได้จากการช่วยเหลือเพื่อ           การดำเนินงานอื่น</t>
  </si>
  <si>
    <t>4307010112.101</t>
  </si>
  <si>
    <t>บัญชีรายได้ระหว่างหน่วยงาน-กรมบัญชี กลางรับเงินเบิกเกินส่งคืนจากหน่วยงาน</t>
  </si>
  <si>
    <t>4308010121.101</t>
  </si>
  <si>
    <t>รายได้ระหว่างกัน-ภายในกรมเดียวกัน (Manual)</t>
  </si>
  <si>
    <t>รายได้อื่น-สินค้ารับโอนจาก สสจ./     รพศ./รพท./รพช./รพ.สต.</t>
  </si>
  <si>
    <t>รายได้อื่น-ครุภัณฑ์ ที่ดินและสิ่งก่อสร้างรับโอนจาก สสจ./รพศ./รพท./รพช./  รพ.สต.</t>
  </si>
  <si>
    <t>รายได้อื่น-เงินงบประมาณงบลงทุน รับโอนจาก สสจ./รพศ./รพท./รพช./     รพ.สต.</t>
  </si>
  <si>
    <t>รายได้อื่น-เงินงบประมาณงบอุดหนุนรับโอนจาก สสจ./รพศ. /รพท./รพช. /   รพ.สต</t>
  </si>
  <si>
    <t>รายได้อื่น-เงินงบประมาณงบรายจ่ายอื่นรับโอนจาก สสจ./รพศ. /รพท./รพช./รพ.สต.</t>
  </si>
  <si>
    <t>รายได้อื่น-เงินงบประมาณงบกลางรับโอนจาก สสจ./รพศ. /รพท./รพช. /   รพ.สต.</t>
  </si>
  <si>
    <t>4313010199.123</t>
  </si>
  <si>
    <t>รายได้อื่น - เงินงบประมาณงบเงินกู้จากรัฐบาลรับโอนจาก สสจ./รพศ./รพช./รพ.สต.</t>
  </si>
  <si>
    <t>เงินประจำตำแหน่งระดับสูง/          ระดับกลาง(สนับสนุน)</t>
  </si>
  <si>
    <t>เงินช่วยพิเศษกรณีเสียชีวิต (เงินงบประมาณ)</t>
  </si>
  <si>
    <t>5101020101.102</t>
  </si>
  <si>
    <t>เงินช่วยพิเศษกรณีเสียชีวิต (เงินนอกงบประมาณ)</t>
  </si>
  <si>
    <t>เงินสมทบกองทุนสำรองเลี้ยงชีพพนักงานและเจ้าหน้าที่รัฐ (เงินนอกงบประมาณ)</t>
  </si>
  <si>
    <t>ค่าตอบแทนเงินเพิ่มพิเศษสำหรับผู้ปฏิบัติงานด้านการสาธารณสุข(พ.ต.ส.-เงินงบประมาณ)</t>
  </si>
  <si>
    <t>ค่าตอบแทนเงินเพิ่มพิเศษสำหรับผู้ปฏิบัติงานด้านการสาธารณสุข     (พ.ต.ส.-เงินนอกงบประมาณ)</t>
  </si>
  <si>
    <t>5101020114.126</t>
  </si>
  <si>
    <t>5101020114.127</t>
  </si>
  <si>
    <t>เงินสมทบกองทุนทดแทน - เงินงบประมาณ</t>
  </si>
  <si>
    <t>เงินสมทบกองทุนทดแทน-เงินนอกงบประมาณ</t>
  </si>
  <si>
    <t>5101020199.104</t>
  </si>
  <si>
    <t>เงินเพิ่มพิเศษสำหรับบุคลากรสาธารณสุขผู้ปฏิบัติงานในสถานการณ์ระบาดของโรคติดเชื้อไวรัสโคโรนา2019</t>
  </si>
  <si>
    <t>เงินช่วยค่ารักษาพยาบาลประเภทผู้ป่วยนอก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</si>
  <si>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เงินช่วยค่ารักษาพยาบาลประเภทผู้ป่วยใน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</si>
  <si>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เงินช่วยค่ารักษาพยาบาลประเภทผู้ป่วยนอก รพ.เอกชนสำหรับผู้มีสิทธิตามกฎหมายยกเว้นผู้รับเบี้ยหวัด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</si>
  <si>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เงินช่วยค่ารักษาพยาบาลประเภทผู้ป่วยในร.พ.เอกชนสำหรับผู้มีสิทธิตามกฎหมายยกเว้นผู้รับเบี้ยหวัด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</si>
  <si>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    ผู้ป่วยนอก รพ.รัฐ สำหรับผู้รับเบี้ยหวัด /บำนาญตามกฎหมาย</t>
  </si>
  <si>
    <t>เงินช่วยค่ารักษาพยาบาลประเภท    ผู้ป่วยใน รพ.รัฐ สำหรับผู้รับเบี้ยหวัด /บำนาญตามกฎหมาย</t>
  </si>
  <si>
    <t>เงินช่วยค่ารักษา พยาบาลประเภทผู้ป่วยนอก รพ.เอกชน  สำหรับผู้รับเบี้ยหวัด/บำนาญตามกฎหมาย</t>
  </si>
  <si>
    <t>เงินช่วยค่ารักษาพยาบาลประเภท    ผู้ป่วยใน รพ.เอกชน สำหรับผู้รับ      เบี้ยหวัด/บำนาญตามกฎหมาย</t>
  </si>
  <si>
    <t>ค่าใช้จ่ายทุนการศึกษา-ในประเทศ</t>
  </si>
  <si>
    <t>ค่าใช้จ่ายด้านการฝึกอบรม - ในประเทศ (เงินนอกงบประมาณ)</t>
  </si>
  <si>
    <t>ค่าใช้จ่ายด้านการฝึกอบรม -บุคคล ภายนอก (เงินงบประมาณ)</t>
  </si>
  <si>
    <t>ค่าใช้จ่ายด้านการฝึกอบรม -บุคคล ภายนอก (เงินนอกงบประมาณ)</t>
  </si>
  <si>
    <t>ค่าใช้จ่ายตามโครงการ (เงินงบประมาณ)</t>
  </si>
  <si>
    <t>ค่าใช้จ่ายตามโครงการ (เงินนอกงบประมาณ)</t>
  </si>
  <si>
    <t>ค่ารักษาตามจ่าย UC นอกสังกัด สป. สธ.</t>
  </si>
  <si>
    <t>5104030299.204</t>
  </si>
  <si>
    <t>ค่าจ้าง/ค่าเช่า/ค่าซ่อมบำรุง สิ่งก่อสร้างและครุภัณฑ์ (งบลงทุน UC)</t>
  </si>
  <si>
    <t>5104030299.501</t>
  </si>
  <si>
    <t>ค่ารักษาตามจ่ายคนต่างด้าวและแรงงานต่างด้าว</t>
  </si>
  <si>
    <t>ค่าใช้จ่ายตามโครงการ (P&amp;P) แรงงานต่างด้าว</t>
  </si>
  <si>
    <t>ค่าใช้จ่ายตามโครงการ (P&amp;P) บุคคลที่มีปัญหาสถานะและสิทธิ</t>
  </si>
  <si>
    <t>5104040102.101</t>
  </si>
  <si>
    <t>ค่าตอบแทนเงินเพิ่มพิเศษแพทย์ไม่ทำเวชปฏิบัติฯลฯ (บริการ)</t>
  </si>
  <si>
    <t>5104040102.102</t>
  </si>
  <si>
    <t>5104040102.103</t>
  </si>
  <si>
    <t>ค่าตอบแทนเงินเพิ่มเภสัชกรไม่ทำเวชปฏิบัติฯลฯ (บริการ)</t>
  </si>
  <si>
    <t>5104040102.104</t>
  </si>
  <si>
    <t>ค่าตอบแทนในการปฏิบัติงานของเจ้าหน้าที่ (บริการ)</t>
  </si>
  <si>
    <t>5104040102.105</t>
  </si>
  <si>
    <t>ค่าตอบแทนในการปฏิบัติงานของเจ้าหน้าที่ (สนับสนุน)</t>
  </si>
  <si>
    <t>5104040102.106</t>
  </si>
  <si>
    <t>ค่าตอบแทนการปฏิบัติงานในคลินิกพิเศษนอกเวลา</t>
  </si>
  <si>
    <t>5104040102.107</t>
  </si>
  <si>
    <t>ค่าตอบแทนการปฏิบัติงานชันสูตรพลิกศพ (เงินงบประมาณ)</t>
  </si>
  <si>
    <t>5104040102.108</t>
  </si>
  <si>
    <t>ค่าตอบแทนการปฏิบัติงานชันสูตรพลิกศพ (เงินนอกงบประมาณ)</t>
  </si>
  <si>
    <t>5104040102.109</t>
  </si>
  <si>
    <t>ค่าตอบแทนปฏิบัติงานแพทย์สาขาส่งเสริมพิเศษ</t>
  </si>
  <si>
    <t>5104040102.110</t>
  </si>
  <si>
    <t>ค่าตอบแทนปฏิบัติงานส่งเสริมสุขภาพและเวชปฏิบัติครอบครัว</t>
  </si>
  <si>
    <t>5104040102.111</t>
  </si>
  <si>
    <t>ค่าตอบแทนการปฏิบัติงานในลักษณะค่าเบี้ยเลี้ยงเหมาจ่าย (บริการ) - เงินงบประมาณ</t>
  </si>
  <si>
    <t>5104040102.112</t>
  </si>
  <si>
    <t>ค่าตอบแทนการปฏิบัติงานในลักษณะค่าเบี้ยเลี้ยงเหมาจ่าย (สนับสนุน) - เงินงบประมาณ</t>
  </si>
  <si>
    <t>5104040102.113</t>
  </si>
  <si>
    <t>5104040102.114</t>
  </si>
  <si>
    <t>5104040102.115</t>
  </si>
  <si>
    <t>5104040102.116</t>
  </si>
  <si>
    <t>5104040102.117</t>
  </si>
  <si>
    <t>5104040102.118</t>
  </si>
  <si>
    <t>5104040102.119</t>
  </si>
  <si>
    <t>ค่าตอบแทนการปฏิบัติงานอื่น -เงินงบประมาณ</t>
  </si>
  <si>
    <t>5104040102.120</t>
  </si>
  <si>
    <t>ค่าตอบแทนการปฏิบัติงานอื่น-เงินนอกงบประมาณ</t>
  </si>
  <si>
    <t>ค่าเสื่อมราคา - อาคารสำนักงาน</t>
  </si>
  <si>
    <t>ค่าเสื่อมราคา - อาคารเพื่อประโยชน์อื่น</t>
  </si>
  <si>
    <t>ค่าเสื่อมราคา - สิ่งปลูกสร้าง</t>
  </si>
  <si>
    <t>ค่าเสื่อมราคา - ระบบบำบัดน้ำเสีย</t>
  </si>
  <si>
    <t>ค่าเสื่อมราคา - ระบบไฟฟ้า</t>
  </si>
  <si>
    <t>5105010119.101</t>
  </si>
  <si>
    <t>ค่าเสื่อมราคา-ครุภัณฑ์โรงงาน</t>
  </si>
  <si>
    <t>ค่าเสื่อมราคา-ส่วนปรับปรุงอาคาร</t>
  </si>
  <si>
    <t>5107010113.101</t>
  </si>
  <si>
    <t>บัญชีค่าใช้จ่ายช่วยเหลือตามมาตรการของรัฐ (งบกลาง โควิด)</t>
  </si>
  <si>
    <t>5108010107.105</t>
  </si>
  <si>
    <t>หนี้สงสัยจะสูญ-ลูกหนี้ค่าสินค้า-หน่วยงานภาครัฐ</t>
  </si>
  <si>
    <t>หนี้สงสัยจะสูญ-ลูกหนี้ค่ารักษา-ชำระเงิน IP</t>
  </si>
  <si>
    <t>5108010107.203</t>
  </si>
  <si>
    <t>หนี้สงสัยจะสูญ-ลูกหนี้ค่ารักษา UC-OP นอก CUP (ในจังหวัด)</t>
  </si>
  <si>
    <t>5108010107.205</t>
  </si>
  <si>
    <t>หนี้สงสัยจะสูญ-ลูกหนี้ค่ารักษา UC-OP นอก CUP (ต่างจังหวัด)</t>
  </si>
  <si>
    <t>ค่าใช้จ่ายระหว่างหน่วยงาน -  หน่วยงานโอนเงินนอกงบประมาณให้กรมบัญชีกลาง</t>
  </si>
  <si>
    <t>ค่าใช้จ่ายระหว่างหน่วยงาน - รายได้แผ่นดินรอนำส่งคลัง</t>
  </si>
  <si>
    <t>5210010121.101</t>
  </si>
  <si>
    <t>ค่าใช้จ่ายระหว่างกัน-ภายในกรมเดียวกัน (Manual)</t>
  </si>
  <si>
    <t>5211010101.101</t>
  </si>
  <si>
    <t>ค่าใช้จ่ายโครงการผลิตบุคลากรทาง   การแพทย์</t>
  </si>
  <si>
    <t>ค่าใช้จ่ายอื่น-เงินงบประมาณงบดำเนินงานโอนไป สสจ./รพศ./รพท./รพช./รพ.สต.</t>
  </si>
  <si>
    <t>ค่าใช้จ่ายอื่น-เงินงบประมาณงบอุดหนุนโอนไป สสจ./รพศ./รพท./รพช./รพ.สต.</t>
  </si>
  <si>
    <t>ค่าใช้จ่ายอื่น-เงินงบประมาณงบรายจ่ายอื่นโอนไป  สสจ./รพศ./รพท./รพช./รพ.สต.</t>
  </si>
  <si>
    <t>ค่าใช้จ่ายอื่น-เงินงบประมาณงบกลางโอนไป สสจ./รพศ. /รพท./รพช./ รพ.สต.</t>
  </si>
  <si>
    <t>ค่าใช้จ่ายอื่น-เงินนอกงบประมาณโอนไป สสจ./รพศ./รพท./รพช./รพ.สต.</t>
  </si>
  <si>
    <t>ข้อมูล ปีงบประมาณ 65</t>
  </si>
  <si>
    <t>ประมาณการ 66</t>
  </si>
  <si>
    <t>ข้อมูลใช้ในการจัดทำแผนการเงินการคลังปี 2566</t>
  </si>
  <si>
    <t xml:space="preserve"> ประมาณการรายรับเครือข่ายบริการสุขภาพ  อำเภอ…..............  ปีงบประมาณ 2566</t>
  </si>
  <si>
    <t>รายรับจริงปี 2565</t>
  </si>
  <si>
    <t>ประมาณการ 2566</t>
  </si>
  <si>
    <t xml:space="preserve">  ประมาณการรายจ่ายเครือข่ายบริการสุขภาพ อำเภอ…................ปีงบประมาณ2566</t>
  </si>
  <si>
    <t>จ่ายจริง ปี 2565</t>
  </si>
  <si>
    <t>…...................</t>
  </si>
  <si>
    <t>แผนการเงินการคลังเครือข่ายบริการสุขภาพ ปีงบประมาณ 2566</t>
  </si>
  <si>
    <t>ตารางบริหารงบประมาณ เครือข่าย.................ปี 2566</t>
  </si>
  <si>
    <t>ทุนสำรองสุทธิ (NWC) ณ 30 ก.ย. 65</t>
  </si>
  <si>
    <t>เงินบำรุงคงเหลือ ณ 30 ก.ย. 65</t>
  </si>
  <si>
    <t>หนี้สินและภาระผูกพัน ณ 30 ก.ย. 65</t>
  </si>
  <si>
    <t>หนี้คงเหลือยกไป</t>
  </si>
  <si>
    <t>เรียกเก็บได้</t>
  </si>
  <si>
    <t>ลูกหนี้ยกไป ตค.66</t>
  </si>
  <si>
    <t>ลูกหนี้ยกมา ตค.65</t>
  </si>
  <si>
    <t>หนี้สิน ยกมาต้นปี</t>
  </si>
  <si>
    <t>หนี้สิน ยกไป ตค 66</t>
  </si>
  <si>
    <t>ข้อมูล ปีงบประมาณ 66</t>
  </si>
  <si>
    <t>ประมาณการ 67</t>
  </si>
  <si>
    <t>รพ.สต. ..................</t>
  </si>
  <si>
    <t>Ø งบค่าเสื่อม สัดส่วนของจังหวัด/เขต/กระทรวง 20%</t>
  </si>
  <si>
    <t>สสอ.พิบูลมังสาหาร</t>
  </si>
  <si>
    <t>1.รพ.สต. อ่างศิลา</t>
  </si>
  <si>
    <t>2.รพ.สต. ท่าช้าง</t>
  </si>
  <si>
    <t>3.รพ.สต. โนนกาหลง</t>
  </si>
  <si>
    <t>4.รพ.สต. หนองโพธิ์</t>
  </si>
  <si>
    <t>5.รพ.สต.ชาดฮี</t>
  </si>
  <si>
    <t>6.รพ.สต. ดอนจิก</t>
  </si>
  <si>
    <t>7.รพ.สต. หนองบัวฮี</t>
  </si>
  <si>
    <t>8.รพ.สต. ระเว</t>
  </si>
  <si>
    <t>9.รพ.สต. สร้างแก้ว</t>
  </si>
  <si>
    <t>10.รพ.สต. ห้วยแดง</t>
  </si>
  <si>
    <t>19.รพ.สต. ..................</t>
  </si>
  <si>
    <t>19.รพ.สต. ตำบลทรายมูล</t>
  </si>
  <si>
    <t>11.รพ.สต. โนนยานาง</t>
  </si>
  <si>
    <t>13.รพ.สต. กุดชมภู</t>
  </si>
  <si>
    <t>14.รพ.สต. นาโพธิ์</t>
  </si>
  <si>
    <t>15.รพ.สต. นกเต็น</t>
  </si>
  <si>
    <t>16.รพ.สต. สอน.ไร่ใต้</t>
  </si>
  <si>
    <t>18.รพ.สต. หนองไฮ</t>
  </si>
  <si>
    <t>12.รพ.สต. นาชุม</t>
  </si>
  <si>
    <t>17.รพ.สต. บ้านแขม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</si>
</sst>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000"/>
    <numFmt numFmtId="190" formatCode="#,##0.00_ ;[Red]\-#,##0.00\ "/>
    <numFmt numFmtId="191" formatCode="_-* #,##0_-;\-* #,##0_-;_-* &quot;-&quot;??_-;_-@_-"/>
    <numFmt numFmtId="192" formatCode="0.000"/>
    <numFmt numFmtId="193" formatCode="#,##0.00_ ;\-#,##0.00\ "/>
  </numFmts>
  <fonts count="5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name val="Wingdings"/>
      <charset val="2"/>
    </font>
    <font>
      <sz val="16"/>
      <color theme="1"/>
      <name val="TH SarabunPSK"/>
      <family val="2"/>
      <charset val="222"/>
    </font>
    <font>
      <sz val="10"/>
      <name val="MS Sans Serif"/>
      <family val="2"/>
      <charset val="222"/>
    </font>
    <font>
      <sz val="14"/>
      <name val="Cordia New"/>
      <family val="2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2"/>
      <color indexed="8"/>
      <name val="Verdana"/>
      <family val="2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0"/>
      <name val="Tahoma"/>
      <family val="2"/>
      <scheme val="minor"/>
    </font>
    <font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b/>
      <sz val="14"/>
      <name val="Tahoma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11"/>
      <color rgb="FFFF0000"/>
      <name val="Tahoma"/>
      <family val="2"/>
      <scheme val="minor"/>
    </font>
    <font>
      <b/>
      <sz val="16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  <scheme val="minor"/>
    </font>
    <font>
      <sz val="10"/>
      <color indexed="8"/>
      <name val="Tahoma"/>
      <family val="2"/>
    </font>
    <font>
      <b/>
      <sz val="9"/>
      <color rgb="FF0070C0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b/>
      <sz val="11"/>
      <color rgb="FFC00000"/>
      <name val="Arial"/>
      <family val="2"/>
    </font>
    <font>
      <sz val="1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0"/>
      <color rgb="FF222222"/>
      <name val="Tahoma"/>
      <family val="2"/>
      <scheme val="minor"/>
    </font>
    <font>
      <sz val="10"/>
      <color rgb="FF222222"/>
      <name val="Tahoma"/>
      <family val="2"/>
      <scheme val="minor"/>
    </font>
    <font>
      <b/>
      <sz val="14"/>
      <color rgb="FFC00000"/>
      <name val="Tahoma"/>
      <family val="2"/>
      <scheme val="minor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strike/>
      <sz val="10"/>
      <color rgb="FFFF0000"/>
      <name val="Tahoma"/>
      <family val="2"/>
      <scheme val="minor"/>
    </font>
    <font>
      <sz val="10"/>
      <color indexed="8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4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9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3" fillId="0" borderId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36">
    <xf numFmtId="0" fontId="0" fillId="0" borderId="0" xfId="0"/>
    <xf numFmtId="0" fontId="5" fillId="6" borderId="1" xfId="2" applyFont="1" applyFill="1" applyBorder="1" applyProtection="1">
      <protection locked="0"/>
    </xf>
    <xf numFmtId="0" fontId="11" fillId="0" borderId="0" xfId="0" applyFont="1"/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4" fontId="13" fillId="2" borderId="1" xfId="2" applyNumberFormat="1" applyFont="1" applyFill="1" applyBorder="1" applyAlignment="1" applyProtection="1">
      <alignment horizontal="center" vertical="center" shrinkToFit="1"/>
      <protection locked="0"/>
    </xf>
    <xf numFmtId="4" fontId="13" fillId="2" borderId="1" xfId="1" applyNumberFormat="1" applyFont="1" applyFill="1" applyBorder="1" applyAlignment="1" applyProtection="1">
      <alignment horizontal="center"/>
      <protection locked="0"/>
    </xf>
    <xf numFmtId="4" fontId="13" fillId="0" borderId="1" xfId="1" applyNumberFormat="1" applyFont="1" applyBorder="1" applyProtection="1">
      <protection locked="0"/>
    </xf>
    <xf numFmtId="0" fontId="11" fillId="0" borderId="1" xfId="0" applyFont="1" applyBorder="1"/>
    <xf numFmtId="0" fontId="13" fillId="5" borderId="1" xfId="2" applyFont="1" applyFill="1" applyBorder="1" applyAlignment="1" applyProtection="1">
      <alignment horizontal="center"/>
      <protection locked="0"/>
    </xf>
    <xf numFmtId="4" fontId="13" fillId="5" borderId="2" xfId="1" applyNumberFormat="1" applyFont="1" applyFill="1" applyBorder="1" applyProtection="1">
      <protection locked="0"/>
    </xf>
    <xf numFmtId="0" fontId="13" fillId="0" borderId="1" xfId="2" applyFont="1" applyBorder="1" applyAlignment="1" applyProtection="1">
      <alignment horizontal="center"/>
      <protection locked="0"/>
    </xf>
    <xf numFmtId="0" fontId="13" fillId="6" borderId="1" xfId="2" applyFont="1" applyFill="1" applyBorder="1" applyProtection="1">
      <protection locked="0"/>
    </xf>
    <xf numFmtId="4" fontId="13" fillId="0" borderId="2" xfId="1" applyNumberFormat="1" applyFont="1" applyBorder="1" applyProtection="1">
      <protection locked="0"/>
    </xf>
    <xf numFmtId="0" fontId="13" fillId="0" borderId="1" xfId="2" applyFont="1" applyBorder="1" applyAlignment="1" applyProtection="1">
      <alignment shrinkToFit="1"/>
      <protection locked="0"/>
    </xf>
    <xf numFmtId="0" fontId="13" fillId="6" borderId="1" xfId="2" applyFont="1" applyFill="1" applyBorder="1" applyAlignment="1" applyProtection="1">
      <alignment horizontal="center"/>
      <protection locked="0"/>
    </xf>
    <xf numFmtId="4" fontId="13" fillId="6" borderId="1" xfId="1" applyNumberFormat="1" applyFont="1" applyFill="1" applyBorder="1" applyProtection="1">
      <protection locked="0"/>
    </xf>
    <xf numFmtId="4" fontId="13" fillId="6" borderId="2" xfId="1" applyNumberFormat="1" applyFont="1" applyFill="1" applyBorder="1" applyProtection="1">
      <protection locked="0"/>
    </xf>
    <xf numFmtId="0" fontId="11" fillId="6" borderId="1" xfId="0" applyFont="1" applyFill="1" applyBorder="1"/>
    <xf numFmtId="0" fontId="11" fillId="6" borderId="0" xfId="0" applyFont="1" applyFill="1"/>
    <xf numFmtId="0" fontId="13" fillId="5" borderId="2" xfId="2" applyFont="1" applyFill="1" applyBorder="1" applyProtection="1">
      <protection locked="0"/>
    </xf>
    <xf numFmtId="0" fontId="13" fillId="5" borderId="5" xfId="2" applyFont="1" applyFill="1" applyBorder="1" applyProtection="1">
      <protection locked="0"/>
    </xf>
    <xf numFmtId="0" fontId="13" fillId="0" borderId="2" xfId="2" applyFont="1" applyBorder="1" applyProtection="1">
      <protection locked="0"/>
    </xf>
    <xf numFmtId="0" fontId="13" fillId="0" borderId="5" xfId="2" applyFont="1" applyBorder="1" applyProtection="1">
      <protection locked="0"/>
    </xf>
    <xf numFmtId="0" fontId="13" fillId="0" borderId="5" xfId="1" applyFont="1" applyBorder="1" applyProtection="1">
      <protection locked="0"/>
    </xf>
    <xf numFmtId="0" fontId="13" fillId="0" borderId="6" xfId="2" applyFont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 shrinkToFit="1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5" xfId="1" applyFont="1" applyBorder="1" applyAlignment="1" applyProtection="1">
      <alignment horizontal="center"/>
      <protection locked="0"/>
    </xf>
    <xf numFmtId="0" fontId="13" fillId="0" borderId="5" xfId="2" applyFont="1" applyBorder="1" applyAlignment="1" applyProtection="1">
      <alignment shrinkToFit="1"/>
      <protection locked="0"/>
    </xf>
    <xf numFmtId="4" fontId="13" fillId="7" borderId="1" xfId="1" applyNumberFormat="1" applyFont="1" applyFill="1" applyBorder="1" applyProtection="1">
      <protection locked="0"/>
    </xf>
    <xf numFmtId="4" fontId="13" fillId="7" borderId="2" xfId="1" applyNumberFormat="1" applyFont="1" applyFill="1" applyBorder="1" applyProtection="1">
      <protection locked="0"/>
    </xf>
    <xf numFmtId="0" fontId="13" fillId="0" borderId="3" xfId="1" applyFont="1" applyBorder="1" applyProtection="1">
      <protection locked="0"/>
    </xf>
    <xf numFmtId="0" fontId="13" fillId="0" borderId="2" xfId="1" applyFont="1" applyBorder="1" applyProtection="1">
      <protection locked="0"/>
    </xf>
    <xf numFmtId="0" fontId="13" fillId="0" borderId="9" xfId="1" applyFont="1" applyBorder="1" applyAlignment="1" applyProtection="1">
      <alignment horizontal="center" shrinkToFit="1"/>
      <protection locked="0"/>
    </xf>
    <xf numFmtId="0" fontId="13" fillId="0" borderId="4" xfId="1" applyFont="1" applyBorder="1" applyProtection="1">
      <protection locked="0"/>
    </xf>
    <xf numFmtId="0" fontId="0" fillId="0" borderId="0" xfId="0" applyAlignment="1">
      <alignment horizontal="right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43" fontId="17" fillId="10" borderId="1" xfId="26" applyFont="1" applyFill="1" applyBorder="1"/>
    <xf numFmtId="190" fontId="19" fillId="0" borderId="0" xfId="26" applyNumberFormat="1" applyFont="1"/>
    <xf numFmtId="43" fontId="0" fillId="10" borderId="1" xfId="26" applyFont="1" applyFill="1" applyBorder="1"/>
    <xf numFmtId="190" fontId="20" fillId="0" borderId="0" xfId="26" applyNumberFormat="1" applyFont="1"/>
    <xf numFmtId="190" fontId="20" fillId="0" borderId="0" xfId="0" applyNumberFormat="1" applyFont="1"/>
    <xf numFmtId="190" fontId="21" fillId="0" borderId="0" xfId="26" applyNumberFormat="1" applyFont="1"/>
    <xf numFmtId="43" fontId="19" fillId="0" borderId="0" xfId="26" applyFont="1"/>
    <xf numFmtId="0" fontId="19" fillId="0" borderId="1" xfId="0" applyFont="1" applyBorder="1"/>
    <xf numFmtId="0" fontId="0" fillId="0" borderId="1" xfId="0" applyBorder="1"/>
    <xf numFmtId="0" fontId="20" fillId="4" borderId="1" xfId="0" applyFont="1" applyFill="1" applyBorder="1" applyAlignment="1">
      <alignment horizontal="center"/>
    </xf>
    <xf numFmtId="190" fontId="20" fillId="4" borderId="1" xfId="26" applyNumberFormat="1" applyFont="1" applyFill="1" applyBorder="1" applyAlignment="1">
      <alignment horizontal="center"/>
    </xf>
    <xf numFmtId="190" fontId="20" fillId="4" borderId="9" xfId="26" applyNumberFormat="1" applyFont="1" applyFill="1" applyBorder="1" applyAlignment="1">
      <alignment horizontal="center"/>
    </xf>
    <xf numFmtId="4" fontId="24" fillId="0" borderId="0" xfId="0" applyNumberFormat="1" applyFont="1"/>
    <xf numFmtId="4" fontId="24" fillId="13" borderId="6" xfId="0" applyNumberFormat="1" applyFont="1" applyFill="1" applyBorder="1" applyAlignment="1">
      <alignment horizontal="center" shrinkToFit="1"/>
    </xf>
    <xf numFmtId="3" fontId="24" fillId="13" borderId="8" xfId="2" applyNumberFormat="1" applyFont="1" applyFill="1" applyBorder="1" applyAlignment="1">
      <alignment horizontal="center" vertical="center" shrinkToFit="1"/>
    </xf>
    <xf numFmtId="4" fontId="24" fillId="13" borderId="9" xfId="0" applyNumberFormat="1" applyFont="1" applyFill="1" applyBorder="1" applyAlignment="1">
      <alignment horizontal="center" shrinkToFit="1"/>
    </xf>
    <xf numFmtId="0" fontId="24" fillId="14" borderId="1" xfId="2" applyFont="1" applyFill="1" applyBorder="1" applyAlignment="1">
      <alignment horizontal="center"/>
    </xf>
    <xf numFmtId="0" fontId="24" fillId="14" borderId="2" xfId="2" applyFont="1" applyFill="1" applyBorder="1"/>
    <xf numFmtId="0" fontId="24" fillId="14" borderId="5" xfId="2" applyFont="1" applyFill="1" applyBorder="1"/>
    <xf numFmtId="0" fontId="24" fillId="14" borderId="3" xfId="2" applyFont="1" applyFill="1" applyBorder="1"/>
    <xf numFmtId="43" fontId="24" fillId="14" borderId="1" xfId="5" applyFont="1" applyFill="1" applyBorder="1" applyAlignment="1">
      <alignment shrinkToFit="1"/>
    </xf>
    <xf numFmtId="0" fontId="24" fillId="15" borderId="1" xfId="2" applyFont="1" applyFill="1" applyBorder="1" applyAlignment="1">
      <alignment horizontal="center"/>
    </xf>
    <xf numFmtId="0" fontId="24" fillId="15" borderId="2" xfId="2" applyFont="1" applyFill="1" applyBorder="1" applyAlignment="1">
      <alignment horizontal="center"/>
    </xf>
    <xf numFmtId="0" fontId="24" fillId="15" borderId="5" xfId="2" applyFont="1" applyFill="1" applyBorder="1"/>
    <xf numFmtId="0" fontId="24" fillId="15" borderId="3" xfId="2" applyFont="1" applyFill="1" applyBorder="1" applyAlignment="1">
      <alignment shrinkToFit="1"/>
    </xf>
    <xf numFmtId="43" fontId="24" fillId="15" borderId="1" xfId="5" applyFont="1" applyFill="1" applyBorder="1" applyAlignment="1">
      <alignment shrinkToFit="1"/>
    </xf>
    <xf numFmtId="0" fontId="24" fillId="0" borderId="1" xfId="2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4" fillId="0" borderId="5" xfId="2" applyFont="1" applyBorder="1"/>
    <xf numFmtId="0" fontId="24" fillId="0" borderId="3" xfId="2" applyFont="1" applyBorder="1" applyAlignment="1">
      <alignment shrinkToFit="1"/>
    </xf>
    <xf numFmtId="43" fontId="24" fillId="0" borderId="1" xfId="5" applyFont="1" applyBorder="1" applyAlignment="1">
      <alignment shrinkToFit="1"/>
    </xf>
    <xf numFmtId="0" fontId="24" fillId="16" borderId="1" xfId="2" applyFont="1" applyFill="1" applyBorder="1" applyAlignment="1">
      <alignment horizontal="center"/>
    </xf>
    <xf numFmtId="0" fontId="24" fillId="16" borderId="2" xfId="2" applyFont="1" applyFill="1" applyBorder="1" applyAlignment="1">
      <alignment horizontal="center"/>
    </xf>
    <xf numFmtId="0" fontId="24" fillId="16" borderId="5" xfId="2" applyFont="1" applyFill="1" applyBorder="1"/>
    <xf numFmtId="0" fontId="24" fillId="16" borderId="3" xfId="2" applyFont="1" applyFill="1" applyBorder="1" applyAlignment="1">
      <alignment shrinkToFit="1"/>
    </xf>
    <xf numFmtId="43" fontId="24" fillId="0" borderId="1" xfId="5" applyFont="1" applyFill="1" applyBorder="1" applyAlignment="1">
      <alignment shrinkToFit="1"/>
    </xf>
    <xf numFmtId="0" fontId="24" fillId="0" borderId="2" xfId="2" applyFont="1" applyBorder="1"/>
    <xf numFmtId="0" fontId="24" fillId="0" borderId="3" xfId="0" applyFont="1" applyBorder="1"/>
    <xf numFmtId="0" fontId="24" fillId="0" borderId="6" xfId="2" applyFont="1" applyBorder="1" applyAlignment="1">
      <alignment horizontal="center"/>
    </xf>
    <xf numFmtId="0" fontId="24" fillId="14" borderId="5" xfId="2" applyFont="1" applyFill="1" applyBorder="1" applyAlignment="1">
      <alignment shrinkToFit="1"/>
    </xf>
    <xf numFmtId="0" fontId="24" fillId="14" borderId="3" xfId="0" applyFont="1" applyFill="1" applyBorder="1"/>
    <xf numFmtId="0" fontId="24" fillId="17" borderId="1" xfId="2" applyFont="1" applyFill="1" applyBorder="1" applyAlignment="1">
      <alignment horizontal="center"/>
    </xf>
    <xf numFmtId="0" fontId="24" fillId="17" borderId="2" xfId="2" applyFont="1" applyFill="1" applyBorder="1" applyAlignment="1">
      <alignment horizontal="center"/>
    </xf>
    <xf numFmtId="0" fontId="24" fillId="17" borderId="5" xfId="2" applyFont="1" applyFill="1" applyBorder="1"/>
    <xf numFmtId="0" fontId="24" fillId="17" borderId="3" xfId="2" applyFont="1" applyFill="1" applyBorder="1"/>
    <xf numFmtId="43" fontId="24" fillId="17" borderId="1" xfId="5" applyFont="1" applyFill="1" applyBorder="1" applyAlignment="1">
      <alignment shrinkToFit="1"/>
    </xf>
    <xf numFmtId="0" fontId="24" fillId="0" borderId="0" xfId="0" applyFont="1"/>
    <xf numFmtId="3" fontId="24" fillId="0" borderId="0" xfId="0" applyNumberFormat="1" applyFont="1"/>
    <xf numFmtId="3" fontId="25" fillId="0" borderId="0" xfId="0" applyNumberFormat="1" applyFont="1"/>
    <xf numFmtId="0" fontId="13" fillId="7" borderId="1" xfId="2" applyFont="1" applyFill="1" applyBorder="1" applyProtection="1">
      <protection locked="0"/>
    </xf>
    <xf numFmtId="0" fontId="11" fillId="7" borderId="1" xfId="0" applyFont="1" applyFill="1" applyBorder="1"/>
    <xf numFmtId="0" fontId="13" fillId="7" borderId="1" xfId="2" applyFont="1" applyFill="1" applyBorder="1" applyAlignment="1" applyProtection="1">
      <alignment shrinkToFit="1"/>
      <protection locked="0"/>
    </xf>
    <xf numFmtId="4" fontId="13" fillId="7" borderId="3" xfId="3" applyNumberFormat="1" applyFont="1" applyFill="1" applyBorder="1" applyAlignment="1" applyProtection="1">
      <alignment shrinkToFit="1"/>
      <protection locked="0"/>
    </xf>
    <xf numFmtId="0" fontId="13" fillId="7" borderId="1" xfId="2" applyFont="1" applyFill="1" applyBorder="1" applyAlignment="1" applyProtection="1">
      <alignment horizontal="center"/>
      <protection locked="0"/>
    </xf>
    <xf numFmtId="4" fontId="13" fillId="7" borderId="1" xfId="3" applyNumberFormat="1" applyFont="1" applyFill="1" applyBorder="1" applyAlignment="1" applyProtection="1">
      <alignment shrinkToFit="1"/>
      <protection locked="0"/>
    </xf>
    <xf numFmtId="3" fontId="13" fillId="2" borderId="1" xfId="3" applyNumberFormat="1" applyFont="1" applyFill="1" applyBorder="1" applyAlignment="1" applyProtection="1">
      <alignment shrinkToFit="1"/>
      <protection locked="0"/>
    </xf>
    <xf numFmtId="4" fontId="24" fillId="0" borderId="6" xfId="0" applyNumberFormat="1" applyFont="1" applyBorder="1" applyAlignment="1">
      <alignment horizontal="center" shrinkToFit="1"/>
    </xf>
    <xf numFmtId="3" fontId="4" fillId="0" borderId="1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shrinkToFit="1"/>
    </xf>
    <xf numFmtId="0" fontId="24" fillId="14" borderId="1" xfId="0" applyFont="1" applyFill="1" applyBorder="1" applyAlignment="1">
      <alignment horizontal="center" shrinkToFit="1"/>
    </xf>
    <xf numFmtId="0" fontId="24" fillId="14" borderId="1" xfId="0" applyFont="1" applyFill="1" applyBorder="1"/>
    <xf numFmtId="0" fontId="24" fillId="20" borderId="1" xfId="0" applyFont="1" applyFill="1" applyBorder="1" applyAlignment="1">
      <alignment horizontal="center" shrinkToFit="1"/>
    </xf>
    <xf numFmtId="0" fontId="24" fillId="20" borderId="2" xfId="0" applyFont="1" applyFill="1" applyBorder="1" applyAlignment="1">
      <alignment horizontal="center"/>
    </xf>
    <xf numFmtId="0" fontId="24" fillId="20" borderId="5" xfId="0" applyFont="1" applyFill="1" applyBorder="1"/>
    <xf numFmtId="0" fontId="24" fillId="20" borderId="3" xfId="0" applyFont="1" applyFill="1" applyBorder="1"/>
    <xf numFmtId="43" fontId="24" fillId="20" borderId="1" xfId="5" applyFont="1" applyFill="1" applyBorder="1" applyAlignment="1">
      <alignment shrinkToFit="1"/>
    </xf>
    <xf numFmtId="0" fontId="24" fillId="0" borderId="1" xfId="0" applyFont="1" applyBorder="1" applyAlignment="1">
      <alignment horizontal="center" shrinkToFit="1"/>
    </xf>
    <xf numFmtId="0" fontId="24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16" borderId="1" xfId="0" applyFont="1" applyFill="1" applyBorder="1" applyAlignment="1">
      <alignment horizontal="center" shrinkToFit="1"/>
    </xf>
    <xf numFmtId="0" fontId="24" fillId="16" borderId="2" xfId="0" applyFont="1" applyFill="1" applyBorder="1" applyAlignment="1">
      <alignment horizontal="center"/>
    </xf>
    <xf numFmtId="0" fontId="24" fillId="16" borderId="5" xfId="0" applyFont="1" applyFill="1" applyBorder="1"/>
    <xf numFmtId="43" fontId="24" fillId="16" borderId="1" xfId="5" applyFont="1" applyFill="1" applyBorder="1" applyAlignment="1">
      <alignment shrinkToFit="1"/>
    </xf>
    <xf numFmtId="0" fontId="24" fillId="14" borderId="2" xfId="0" applyFont="1" applyFill="1" applyBorder="1" applyAlignment="1">
      <alignment horizontal="left"/>
    </xf>
    <xf numFmtId="0" fontId="24" fillId="14" borderId="5" xfId="0" applyFont="1" applyFill="1" applyBorder="1" applyAlignment="1">
      <alignment horizontal="center"/>
    </xf>
    <xf numFmtId="0" fontId="24" fillId="14" borderId="3" xfId="2" applyFont="1" applyFill="1" applyBorder="1" applyAlignment="1">
      <alignment shrinkToFit="1"/>
    </xf>
    <xf numFmtId="0" fontId="24" fillId="16" borderId="2" xfId="0" applyFont="1" applyFill="1" applyBorder="1" applyAlignment="1">
      <alignment horizontal="left"/>
    </xf>
    <xf numFmtId="188" fontId="28" fillId="16" borderId="2" xfId="0" applyNumberFormat="1" applyFont="1" applyFill="1" applyBorder="1"/>
    <xf numFmtId="0" fontId="24" fillId="16" borderId="3" xfId="0" applyFont="1" applyFill="1" applyBorder="1"/>
    <xf numFmtId="0" fontId="24" fillId="0" borderId="1" xfId="0" applyFont="1" applyBorder="1"/>
    <xf numFmtId="0" fontId="24" fillId="0" borderId="5" xfId="0" applyFont="1" applyBorder="1"/>
    <xf numFmtId="0" fontId="24" fillId="0" borderId="7" xfId="0" applyFont="1" applyBorder="1" applyAlignment="1">
      <alignment horizontal="center"/>
    </xf>
    <xf numFmtId="0" fontId="24" fillId="0" borderId="8" xfId="0" applyFont="1" applyBorder="1"/>
    <xf numFmtId="0" fontId="24" fillId="14" borderId="5" xfId="0" applyFont="1" applyFill="1" applyBorder="1"/>
    <xf numFmtId="0" fontId="24" fillId="0" borderId="3" xfId="2" applyFont="1" applyBorder="1"/>
    <xf numFmtId="188" fontId="28" fillId="0" borderId="2" xfId="0" applyNumberFormat="1" applyFont="1" applyBorder="1"/>
    <xf numFmtId="0" fontId="0" fillId="0" borderId="0" xfId="0" applyAlignment="1">
      <alignment horizontal="center"/>
    </xf>
    <xf numFmtId="190" fontId="0" fillId="4" borderId="0" xfId="0" applyNumberFormat="1" applyFill="1"/>
    <xf numFmtId="0" fontId="24" fillId="5" borderId="9" xfId="0" applyFont="1" applyFill="1" applyBorder="1" applyAlignment="1">
      <alignment horizontal="center" shrinkToFit="1"/>
    </xf>
    <xf numFmtId="0" fontId="24" fillId="5" borderId="4" xfId="0" applyFont="1" applyFill="1" applyBorder="1"/>
    <xf numFmtId="0" fontId="24" fillId="5" borderId="8" xfId="0" applyFont="1" applyFill="1" applyBorder="1"/>
    <xf numFmtId="43" fontId="24" fillId="5" borderId="1" xfId="5" applyFont="1" applyFill="1" applyBorder="1" applyAlignment="1">
      <alignment shrinkToFit="1"/>
    </xf>
    <xf numFmtId="0" fontId="24" fillId="12" borderId="9" xfId="0" applyFont="1" applyFill="1" applyBorder="1" applyAlignment="1">
      <alignment horizontal="center" shrinkToFit="1"/>
    </xf>
    <xf numFmtId="0" fontId="24" fillId="12" borderId="2" xfId="0" applyFont="1" applyFill="1" applyBorder="1" applyAlignment="1">
      <alignment horizontal="center"/>
    </xf>
    <xf numFmtId="0" fontId="24" fillId="12" borderId="5" xfId="0" applyFont="1" applyFill="1" applyBorder="1"/>
    <xf numFmtId="0" fontId="24" fillId="12" borderId="3" xfId="0" applyFont="1" applyFill="1" applyBorder="1"/>
    <xf numFmtId="43" fontId="24" fillId="12" borderId="1" xfId="5" applyFont="1" applyFill="1" applyBorder="1" applyAlignment="1">
      <alignment shrinkToFit="1"/>
    </xf>
    <xf numFmtId="0" fontId="13" fillId="5" borderId="1" xfId="2" applyFont="1" applyFill="1" applyBorder="1" applyAlignment="1">
      <alignment horizontal="center"/>
    </xf>
    <xf numFmtId="0" fontId="13" fillId="5" borderId="1" xfId="2" applyFont="1" applyFill="1" applyBorder="1"/>
    <xf numFmtId="4" fontId="13" fillId="5" borderId="5" xfId="3" applyNumberFormat="1" applyFont="1" applyFill="1" applyBorder="1" applyAlignment="1" applyProtection="1">
      <alignment shrinkToFit="1"/>
    </xf>
    <xf numFmtId="0" fontId="11" fillId="5" borderId="0" xfId="0" applyFont="1" applyFill="1"/>
    <xf numFmtId="0" fontId="13" fillId="6" borderId="1" xfId="2" applyFont="1" applyFill="1" applyBorder="1" applyAlignment="1">
      <alignment horizontal="center"/>
    </xf>
    <xf numFmtId="0" fontId="13" fillId="6" borderId="1" xfId="2" applyFont="1" applyFill="1" applyBorder="1"/>
    <xf numFmtId="0" fontId="13" fillId="5" borderId="2" xfId="2" applyFont="1" applyFill="1" applyBorder="1"/>
    <xf numFmtId="0" fontId="13" fillId="5" borderId="5" xfId="2" applyFont="1" applyFill="1" applyBorder="1" applyAlignment="1">
      <alignment shrinkToFit="1"/>
    </xf>
    <xf numFmtId="0" fontId="13" fillId="5" borderId="5" xfId="1" applyFont="1" applyFill="1" applyBorder="1"/>
    <xf numFmtId="0" fontId="13" fillId="5" borderId="5" xfId="2" applyFont="1" applyFill="1" applyBorder="1"/>
    <xf numFmtId="0" fontId="13" fillId="4" borderId="1" xfId="2" applyFont="1" applyFill="1" applyBorder="1" applyAlignment="1">
      <alignment horizontal="center"/>
    </xf>
    <xf numFmtId="0" fontId="13" fillId="4" borderId="2" xfId="2" applyFont="1" applyFill="1" applyBorder="1" applyAlignment="1">
      <alignment horizontal="center"/>
    </xf>
    <xf numFmtId="0" fontId="13" fillId="4" borderId="5" xfId="2" applyFont="1" applyFill="1" applyBorder="1"/>
    <xf numFmtId="0" fontId="14" fillId="4" borderId="5" xfId="2" applyFont="1" applyFill="1" applyBorder="1"/>
    <xf numFmtId="0" fontId="13" fillId="5" borderId="1" xfId="1" applyFont="1" applyFill="1" applyBorder="1" applyAlignment="1">
      <alignment horizontal="center" shrinkToFit="1"/>
    </xf>
    <xf numFmtId="0" fontId="13" fillId="5" borderId="1" xfId="1" applyFont="1" applyFill="1" applyBorder="1"/>
    <xf numFmtId="0" fontId="13" fillId="5" borderId="2" xfId="1" applyFont="1" applyFill="1" applyBorder="1"/>
    <xf numFmtId="4" fontId="13" fillId="5" borderId="1" xfId="2" applyNumberFormat="1" applyFont="1" applyFill="1" applyBorder="1"/>
    <xf numFmtId="0" fontId="13" fillId="5" borderId="2" xfId="1" applyFont="1" applyFill="1" applyBorder="1" applyAlignment="1">
      <alignment horizontal="left"/>
    </xf>
    <xf numFmtId="0" fontId="13" fillId="5" borderId="5" xfId="1" applyFont="1" applyFill="1" applyBorder="1" applyAlignment="1">
      <alignment horizontal="center"/>
    </xf>
    <xf numFmtId="4" fontId="13" fillId="5" borderId="1" xfId="1" applyNumberFormat="1" applyFont="1" applyFill="1" applyBorder="1"/>
    <xf numFmtId="0" fontId="13" fillId="7" borderId="1" xfId="1" applyFont="1" applyFill="1" applyBorder="1" applyAlignment="1">
      <alignment horizontal="center" shrinkToFit="1"/>
    </xf>
    <xf numFmtId="0" fontId="13" fillId="7" borderId="5" xfId="2" applyFont="1" applyFill="1" applyBorder="1" applyAlignment="1">
      <alignment shrinkToFit="1"/>
    </xf>
    <xf numFmtId="4" fontId="13" fillId="7" borderId="1" xfId="1" applyNumberFormat="1" applyFont="1" applyFill="1" applyBorder="1"/>
    <xf numFmtId="188" fontId="13" fillId="7" borderId="2" xfId="1" applyNumberFormat="1" applyFont="1" applyFill="1" applyBorder="1"/>
    <xf numFmtId="0" fontId="13" fillId="7" borderId="3" xfId="1" applyFont="1" applyFill="1" applyBorder="1"/>
    <xf numFmtId="0" fontId="13" fillId="7" borderId="5" xfId="1" applyFont="1" applyFill="1" applyBorder="1"/>
    <xf numFmtId="0" fontId="13" fillId="5" borderId="3" xfId="1" applyFont="1" applyFill="1" applyBorder="1"/>
    <xf numFmtId="0" fontId="13" fillId="5" borderId="10" xfId="1" applyFont="1" applyFill="1" applyBorder="1" applyAlignment="1">
      <alignment horizontal="center" shrinkToFit="1"/>
    </xf>
    <xf numFmtId="0" fontId="13" fillId="5" borderId="0" xfId="1" applyFont="1" applyFill="1"/>
    <xf numFmtId="0" fontId="13" fillId="0" borderId="1" xfId="2" applyFont="1" applyBorder="1" applyAlignment="1">
      <alignment horizontal="center"/>
    </xf>
    <xf numFmtId="0" fontId="13" fillId="0" borderId="2" xfId="2" applyFont="1" applyBorder="1"/>
    <xf numFmtId="0" fontId="13" fillId="0" borderId="5" xfId="1" applyFont="1" applyBorder="1"/>
    <xf numFmtId="0" fontId="13" fillId="0" borderId="5" xfId="2" applyFont="1" applyBorder="1"/>
    <xf numFmtId="0" fontId="13" fillId="0" borderId="1" xfId="1" applyFont="1" applyBorder="1" applyAlignment="1">
      <alignment horizontal="center" shrinkToFit="1"/>
    </xf>
    <xf numFmtId="0" fontId="13" fillId="0" borderId="2" xfId="1" applyFont="1" applyBorder="1" applyAlignment="1">
      <alignment horizontal="center"/>
    </xf>
    <xf numFmtId="0" fontId="13" fillId="0" borderId="3" xfId="1" applyFont="1" applyBorder="1"/>
    <xf numFmtId="0" fontId="13" fillId="0" borderId="9" xfId="1" applyFont="1" applyBorder="1" applyAlignment="1">
      <alignment horizontal="center" shrinkToFit="1"/>
    </xf>
    <xf numFmtId="0" fontId="13" fillId="0" borderId="4" xfId="1" applyFont="1" applyBorder="1"/>
    <xf numFmtId="4" fontId="13" fillId="5" borderId="2" xfId="1" applyNumberFormat="1" applyFont="1" applyFill="1" applyBorder="1"/>
    <xf numFmtId="0" fontId="13" fillId="7" borderId="1" xfId="2" applyFont="1" applyFill="1" applyBorder="1" applyAlignment="1">
      <alignment horizontal="center"/>
    </xf>
    <xf numFmtId="0" fontId="13" fillId="7" borderId="1" xfId="2" applyFont="1" applyFill="1" applyBorder="1"/>
    <xf numFmtId="0" fontId="13" fillId="7" borderId="1" xfId="2" applyFont="1" applyFill="1" applyBorder="1" applyAlignment="1">
      <alignment shrinkToFit="1"/>
    </xf>
    <xf numFmtId="4" fontId="13" fillId="7" borderId="3" xfId="3" applyNumberFormat="1" applyFont="1" applyFill="1" applyBorder="1" applyAlignment="1" applyProtection="1">
      <alignment shrinkToFit="1"/>
    </xf>
    <xf numFmtId="4" fontId="13" fillId="7" borderId="2" xfId="1" applyNumberFormat="1" applyFont="1" applyFill="1" applyBorder="1"/>
    <xf numFmtId="4" fontId="13" fillId="6" borderId="2" xfId="1" applyNumberFormat="1" applyFont="1" applyFill="1" applyBorder="1"/>
    <xf numFmtId="4" fontId="13" fillId="0" borderId="2" xfId="1" applyNumberFormat="1" applyFont="1" applyBorder="1"/>
    <xf numFmtId="4" fontId="13" fillId="4" borderId="2" xfId="1" applyNumberFormat="1" applyFont="1" applyFill="1" applyBorder="1"/>
    <xf numFmtId="0" fontId="13" fillId="3" borderId="1" xfId="1" applyFont="1" applyFill="1" applyBorder="1" applyAlignment="1">
      <alignment horizontal="center" shrinkToFit="1"/>
    </xf>
    <xf numFmtId="0" fontId="13" fillId="3" borderId="5" xfId="1" applyFont="1" applyFill="1" applyBorder="1"/>
    <xf numFmtId="4" fontId="13" fillId="3" borderId="1" xfId="2" applyNumberFormat="1" applyFont="1" applyFill="1" applyBorder="1"/>
    <xf numFmtId="4" fontId="13" fillId="3" borderId="2" xfId="1" applyNumberFormat="1" applyFont="1" applyFill="1" applyBorder="1"/>
    <xf numFmtId="0" fontId="13" fillId="8" borderId="1" xfId="1" applyFont="1" applyFill="1" applyBorder="1" applyAlignment="1">
      <alignment horizontal="center" shrinkToFit="1"/>
    </xf>
    <xf numFmtId="0" fontId="13" fillId="8" borderId="2" xfId="1" applyFont="1" applyFill="1" applyBorder="1" applyAlignment="1">
      <alignment horizontal="left"/>
    </xf>
    <xf numFmtId="0" fontId="13" fillId="8" borderId="5" xfId="1" applyFont="1" applyFill="1" applyBorder="1" applyAlignment="1">
      <alignment horizontal="center"/>
    </xf>
    <xf numFmtId="0" fontId="13" fillId="8" borderId="5" xfId="2" applyFont="1" applyFill="1" applyBorder="1" applyAlignment="1">
      <alignment shrinkToFit="1"/>
    </xf>
    <xf numFmtId="4" fontId="13" fillId="8" borderId="1" xfId="1" applyNumberFormat="1" applyFont="1" applyFill="1" applyBorder="1"/>
    <xf numFmtId="0" fontId="13" fillId="3" borderId="2" xfId="1" applyFont="1" applyFill="1" applyBorder="1" applyAlignment="1">
      <alignment horizontal="left"/>
    </xf>
    <xf numFmtId="0" fontId="13" fillId="3" borderId="5" xfId="2" applyFont="1" applyFill="1" applyBorder="1" applyAlignment="1">
      <alignment shrinkToFit="1"/>
    </xf>
    <xf numFmtId="4" fontId="13" fillId="3" borderId="1" xfId="1" applyNumberFormat="1" applyFont="1" applyFill="1" applyBorder="1"/>
    <xf numFmtId="4" fontId="13" fillId="2" borderId="1" xfId="1" applyNumberFormat="1" applyFont="1" applyFill="1" applyBorder="1"/>
    <xf numFmtId="0" fontId="13" fillId="9" borderId="10" xfId="1" applyFont="1" applyFill="1" applyBorder="1" applyAlignment="1">
      <alignment horizontal="center" shrinkToFit="1"/>
    </xf>
    <xf numFmtId="0" fontId="13" fillId="9" borderId="11" xfId="1" applyFont="1" applyFill="1" applyBorder="1" applyAlignment="1">
      <alignment horizontal="center"/>
    </xf>
    <xf numFmtId="0" fontId="13" fillId="9" borderId="12" xfId="1" applyFont="1" applyFill="1" applyBorder="1"/>
    <xf numFmtId="0" fontId="14" fillId="9" borderId="12" xfId="1" applyFont="1" applyFill="1" applyBorder="1"/>
    <xf numFmtId="4" fontId="13" fillId="9" borderId="1" xfId="1" applyNumberFormat="1" applyFont="1" applyFill="1" applyBorder="1"/>
    <xf numFmtId="4" fontId="13" fillId="9" borderId="2" xfId="1" applyNumberFormat="1" applyFont="1" applyFill="1" applyBorder="1"/>
    <xf numFmtId="0" fontId="13" fillId="0" borderId="5" xfId="1" applyFont="1" applyBorder="1" applyAlignment="1">
      <alignment horizontal="center"/>
    </xf>
    <xf numFmtId="0" fontId="13" fillId="0" borderId="5" xfId="2" applyFont="1" applyBorder="1" applyAlignment="1">
      <alignment shrinkToFit="1"/>
    </xf>
    <xf numFmtId="4" fontId="13" fillId="0" borderId="3" xfId="3" applyNumberFormat="1" applyFont="1" applyBorder="1" applyAlignment="1" applyProtection="1">
      <alignment shrinkToFit="1"/>
      <protection locked="0"/>
    </xf>
    <xf numFmtId="4" fontId="13" fillId="5" borderId="3" xfId="3" applyNumberFormat="1" applyFont="1" applyFill="1" applyBorder="1" applyAlignment="1" applyProtection="1">
      <alignment shrinkToFit="1"/>
    </xf>
    <xf numFmtId="4" fontId="13" fillId="6" borderId="3" xfId="3" applyNumberFormat="1" applyFont="1" applyFill="1" applyBorder="1" applyAlignment="1" applyProtection="1">
      <alignment shrinkToFit="1"/>
      <protection locked="0"/>
    </xf>
    <xf numFmtId="4" fontId="13" fillId="2" borderId="3" xfId="3" applyNumberFormat="1" applyFont="1" applyFill="1" applyBorder="1" applyAlignment="1" applyProtection="1">
      <alignment shrinkToFit="1"/>
    </xf>
    <xf numFmtId="4" fontId="13" fillId="0" borderId="1" xfId="3" applyNumberFormat="1" applyFont="1" applyBorder="1" applyAlignment="1" applyProtection="1">
      <alignment shrinkToFit="1"/>
      <protection locked="0"/>
    </xf>
    <xf numFmtId="4" fontId="13" fillId="5" borderId="1" xfId="3" applyNumberFormat="1" applyFont="1" applyFill="1" applyBorder="1" applyAlignment="1" applyProtection="1">
      <alignment shrinkToFit="1"/>
      <protection locked="0"/>
    </xf>
    <xf numFmtId="4" fontId="13" fillId="5" borderId="1" xfId="3" applyNumberFormat="1" applyFont="1" applyFill="1" applyBorder="1" applyAlignment="1" applyProtection="1">
      <alignment shrinkToFit="1"/>
    </xf>
    <xf numFmtId="4" fontId="14" fillId="4" borderId="1" xfId="3" applyNumberFormat="1" applyFont="1" applyFill="1" applyBorder="1" applyAlignment="1" applyProtection="1">
      <alignment shrinkToFit="1"/>
    </xf>
    <xf numFmtId="4" fontId="11" fillId="0" borderId="0" xfId="0" applyNumberFormat="1" applyFont="1"/>
    <xf numFmtId="0" fontId="13" fillId="6" borderId="1" xfId="1" applyFont="1" applyFill="1" applyBorder="1" applyAlignment="1" applyProtection="1">
      <alignment horizontal="center" shrinkToFit="1"/>
      <protection locked="0"/>
    </xf>
    <xf numFmtId="0" fontId="13" fillId="6" borderId="2" xfId="1" applyFont="1" applyFill="1" applyBorder="1" applyAlignment="1" applyProtection="1">
      <alignment horizontal="center"/>
      <protection locked="0"/>
    </xf>
    <xf numFmtId="0" fontId="13" fillId="6" borderId="5" xfId="1" applyFont="1" applyFill="1" applyBorder="1" applyProtection="1">
      <protection locked="0"/>
    </xf>
    <xf numFmtId="4" fontId="13" fillId="6" borderId="1" xfId="1" applyNumberFormat="1" applyFont="1" applyFill="1" applyBorder="1"/>
    <xf numFmtId="4" fontId="29" fillId="0" borderId="1" xfId="1" applyNumberFormat="1" applyFont="1" applyBorder="1" applyProtection="1">
      <protection locked="0"/>
    </xf>
    <xf numFmtId="4" fontId="29" fillId="6" borderId="3" xfId="3" applyNumberFormat="1" applyFont="1" applyFill="1" applyBorder="1" applyAlignment="1" applyProtection="1">
      <alignment shrinkToFit="1"/>
      <protection locked="0"/>
    </xf>
    <xf numFmtId="4" fontId="29" fillId="0" borderId="1" xfId="3" applyNumberFormat="1" applyFont="1" applyBorder="1" applyAlignment="1" applyProtection="1">
      <alignment shrinkToFit="1"/>
      <protection locked="0"/>
    </xf>
    <xf numFmtId="188" fontId="13" fillId="3" borderId="2" xfId="1" applyNumberFormat="1" applyFont="1" applyFill="1" applyBorder="1" applyAlignment="1">
      <alignment horizontal="center"/>
    </xf>
    <xf numFmtId="188" fontId="13" fillId="7" borderId="2" xfId="1" applyNumberFormat="1" applyFont="1" applyFill="1" applyBorder="1" applyAlignment="1">
      <alignment horizontal="center"/>
    </xf>
    <xf numFmtId="188" fontId="13" fillId="7" borderId="1" xfId="2" applyNumberFormat="1" applyFont="1" applyFill="1" applyBorder="1"/>
    <xf numFmtId="4" fontId="13" fillId="0" borderId="3" xfId="3" applyNumberFormat="1" applyFont="1" applyFill="1" applyBorder="1" applyAlignment="1" applyProtection="1">
      <alignment shrinkToFit="1"/>
    </xf>
    <xf numFmtId="4" fontId="13" fillId="0" borderId="1" xfId="3" applyNumberFormat="1" applyFont="1" applyFill="1" applyBorder="1" applyAlignment="1" applyProtection="1">
      <alignment shrinkToFit="1"/>
      <protection locked="0"/>
    </xf>
    <xf numFmtId="0" fontId="26" fillId="19" borderId="5" xfId="2" applyFont="1" applyFill="1" applyBorder="1" applyProtection="1">
      <protection locked="0"/>
    </xf>
    <xf numFmtId="4" fontId="13" fillId="8" borderId="1" xfId="1" applyNumberFormat="1" applyFont="1" applyFill="1" applyBorder="1" applyProtection="1">
      <protection locked="0"/>
    </xf>
    <xf numFmtId="0" fontId="30" fillId="0" borderId="0" xfId="0" applyFont="1"/>
    <xf numFmtId="0" fontId="31" fillId="5" borderId="1" xfId="0" applyFont="1" applyFill="1" applyBorder="1" applyAlignment="1">
      <alignment horizontal="center"/>
    </xf>
    <xf numFmtId="0" fontId="0" fillId="5" borderId="1" xfId="0" applyFill="1" applyBorder="1"/>
    <xf numFmtId="4" fontId="13" fillId="23" borderId="1" xfId="1" applyNumberFormat="1" applyFont="1" applyFill="1" applyBorder="1"/>
    <xf numFmtId="43" fontId="24" fillId="23" borderId="1" xfId="5" applyFont="1" applyFill="1" applyBorder="1" applyAlignment="1">
      <alignment shrinkToFit="1"/>
    </xf>
    <xf numFmtId="0" fontId="0" fillId="24" borderId="0" xfId="0" applyFill="1"/>
    <xf numFmtId="0" fontId="11" fillId="24" borderId="0" xfId="0" applyFont="1" applyFill="1"/>
    <xf numFmtId="0" fontId="11" fillId="24" borderId="1" xfId="0" applyFont="1" applyFill="1" applyBorder="1"/>
    <xf numFmtId="4" fontId="11" fillId="24" borderId="1" xfId="0" applyNumberFormat="1" applyFont="1" applyFill="1" applyBorder="1"/>
    <xf numFmtId="4" fontId="0" fillId="5" borderId="1" xfId="0" applyNumberFormat="1" applyFill="1" applyBorder="1"/>
    <xf numFmtId="4" fontId="0" fillId="5" borderId="0" xfId="0" applyNumberFormat="1" applyFill="1"/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24" fillId="17" borderId="1" xfId="2" applyFont="1" applyFill="1" applyBorder="1"/>
    <xf numFmtId="0" fontId="0" fillId="26" borderId="2" xfId="0" applyFill="1" applyBorder="1"/>
    <xf numFmtId="3" fontId="0" fillId="0" borderId="2" xfId="0" applyNumberFormat="1" applyBorder="1"/>
    <xf numFmtId="43" fontId="0" fillId="0" borderId="2" xfId="26" applyFont="1" applyBorder="1"/>
    <xf numFmtId="4" fontId="0" fillId="0" borderId="0" xfId="0" applyNumberFormat="1"/>
    <xf numFmtId="43" fontId="0" fillId="0" borderId="0" xfId="26" applyFont="1" applyFill="1"/>
    <xf numFmtId="190" fontId="0" fillId="0" borderId="0" xfId="0" applyNumberFormat="1"/>
    <xf numFmtId="43" fontId="24" fillId="0" borderId="0" xfId="26" applyFont="1"/>
    <xf numFmtId="43" fontId="0" fillId="0" borderId="1" xfId="26" applyFont="1" applyBorder="1"/>
    <xf numFmtId="0" fontId="0" fillId="5" borderId="1" xfId="0" applyFill="1" applyBorder="1" applyAlignment="1">
      <alignment horizontal="center"/>
    </xf>
    <xf numFmtId="43" fontId="0" fillId="0" borderId="1" xfId="26" applyFont="1" applyFill="1" applyBorder="1"/>
    <xf numFmtId="43" fontId="0" fillId="27" borderId="1" xfId="26" applyFont="1" applyFill="1" applyBorder="1"/>
    <xf numFmtId="0" fontId="0" fillId="4" borderId="1" xfId="0" applyFill="1" applyBorder="1"/>
    <xf numFmtId="4" fontId="0" fillId="0" borderId="1" xfId="0" applyNumberFormat="1" applyBorder="1"/>
    <xf numFmtId="0" fontId="3" fillId="6" borderId="1" xfId="0" applyFont="1" applyFill="1" applyBorder="1"/>
    <xf numFmtId="0" fontId="34" fillId="23" borderId="0" xfId="0" applyFont="1" applyFill="1" applyAlignment="1">
      <alignment horizontal="center" vertical="center" wrapText="1"/>
    </xf>
    <xf numFmtId="0" fontId="34" fillId="23" borderId="0" xfId="0" applyFont="1" applyFill="1" applyAlignment="1">
      <alignment horizontal="center" vertical="top" wrapText="1"/>
    </xf>
    <xf numFmtId="0" fontId="36" fillId="0" borderId="1" xfId="0" applyFont="1" applyBorder="1" applyAlignment="1">
      <alignment horizontal="center" vertical="center" wrapText="1"/>
    </xf>
    <xf numFmtId="0" fontId="36" fillId="18" borderId="1" xfId="0" applyFont="1" applyFill="1" applyBorder="1" applyAlignment="1">
      <alignment horizontal="center" vertical="center" wrapText="1"/>
    </xf>
    <xf numFmtId="0" fontId="36" fillId="21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center" vertical="center" wrapText="1"/>
    </xf>
    <xf numFmtId="0" fontId="39" fillId="28" borderId="15" xfId="0" applyFont="1" applyFill="1" applyBorder="1" applyAlignment="1">
      <alignment horizontal="center" vertical="center" wrapText="1" readingOrder="1"/>
    </xf>
    <xf numFmtId="0" fontId="37" fillId="0" borderId="0" xfId="0" applyFont="1"/>
    <xf numFmtId="43" fontId="36" fillId="0" borderId="1" xfId="26" applyFont="1" applyBorder="1"/>
    <xf numFmtId="0" fontId="37" fillId="0" borderId="9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 readingOrder="1"/>
    </xf>
    <xf numFmtId="0" fontId="36" fillId="0" borderId="0" xfId="0" applyFont="1"/>
    <xf numFmtId="0" fontId="41" fillId="6" borderId="0" xfId="0" applyFont="1" applyFill="1" applyAlignment="1">
      <alignment horizontal="center"/>
    </xf>
    <xf numFmtId="0" fontId="42" fillId="28" borderId="15" xfId="0" applyFont="1" applyFill="1" applyBorder="1" applyAlignment="1">
      <alignment horizontal="center" vertical="center" wrapText="1" readingOrder="1"/>
    </xf>
    <xf numFmtId="0" fontId="42" fillId="28" borderId="16" xfId="0" applyFont="1" applyFill="1" applyBorder="1" applyAlignment="1">
      <alignment horizontal="center" vertical="center" wrapText="1" readingOrder="1"/>
    </xf>
    <xf numFmtId="0" fontId="42" fillId="28" borderId="16" xfId="0" applyFont="1" applyFill="1" applyBorder="1" applyAlignment="1">
      <alignment horizontal="left" vertical="center" wrapText="1" readingOrder="1"/>
    </xf>
    <xf numFmtId="0" fontId="37" fillId="28" borderId="16" xfId="0" applyFont="1" applyFill="1" applyBorder="1" applyAlignment="1">
      <alignment horizontal="center" vertical="top" wrapText="1"/>
    </xf>
    <xf numFmtId="0" fontId="43" fillId="28" borderId="16" xfId="0" applyFont="1" applyFill="1" applyBorder="1" applyAlignment="1">
      <alignment horizontal="left" vertical="center" wrapText="1" readingOrder="1"/>
    </xf>
    <xf numFmtId="0" fontId="37" fillId="28" borderId="17" xfId="0" applyFont="1" applyFill="1" applyBorder="1" applyAlignment="1">
      <alignment horizontal="center" vertical="top" wrapText="1"/>
    </xf>
    <xf numFmtId="0" fontId="42" fillId="28" borderId="17" xfId="0" applyFont="1" applyFill="1" applyBorder="1" applyAlignment="1">
      <alignment horizontal="left" vertical="center" wrapText="1" readingOrder="1"/>
    </xf>
    <xf numFmtId="0" fontId="44" fillId="29" borderId="18" xfId="0" applyFont="1" applyFill="1" applyBorder="1" applyAlignment="1">
      <alignment horizontal="center" vertical="center" wrapText="1" readingOrder="1"/>
    </xf>
    <xf numFmtId="0" fontId="44" fillId="29" borderId="18" xfId="0" applyFont="1" applyFill="1" applyBorder="1" applyAlignment="1">
      <alignment horizontal="left" vertical="center" readingOrder="1"/>
    </xf>
    <xf numFmtId="0" fontId="44" fillId="30" borderId="19" xfId="0" applyFont="1" applyFill="1" applyBorder="1" applyAlignment="1">
      <alignment horizontal="center" vertical="center" wrapText="1" readingOrder="1"/>
    </xf>
    <xf numFmtId="0" fontId="41" fillId="30" borderId="19" xfId="0" applyFont="1" applyFill="1" applyBorder="1" applyAlignment="1">
      <alignment horizontal="center" vertical="center" wrapText="1" readingOrder="1"/>
    </xf>
    <xf numFmtId="0" fontId="44" fillId="30" borderId="19" xfId="0" applyFont="1" applyFill="1" applyBorder="1" applyAlignment="1">
      <alignment horizontal="left" vertical="center" readingOrder="1"/>
    </xf>
    <xf numFmtId="0" fontId="44" fillId="29" borderId="15" xfId="0" applyFont="1" applyFill="1" applyBorder="1" applyAlignment="1">
      <alignment horizontal="center" vertical="center" wrapText="1" readingOrder="1"/>
    </xf>
    <xf numFmtId="0" fontId="44" fillId="29" borderId="15" xfId="0" applyFont="1" applyFill="1" applyBorder="1" applyAlignment="1">
      <alignment horizontal="left" vertical="center" readingOrder="1"/>
    </xf>
    <xf numFmtId="0" fontId="44" fillId="30" borderId="15" xfId="0" applyFont="1" applyFill="1" applyBorder="1" applyAlignment="1">
      <alignment horizontal="center" vertical="center" wrapText="1" readingOrder="1"/>
    </xf>
    <xf numFmtId="0" fontId="41" fillId="30" borderId="15" xfId="0" applyFont="1" applyFill="1" applyBorder="1" applyAlignment="1">
      <alignment horizontal="center" vertical="center" wrapText="1" readingOrder="1"/>
    </xf>
    <xf numFmtId="0" fontId="44" fillId="30" borderId="15" xfId="0" applyFont="1" applyFill="1" applyBorder="1" applyAlignment="1">
      <alignment horizontal="left" vertical="center" readingOrder="1"/>
    </xf>
    <xf numFmtId="0" fontId="44" fillId="29" borderId="19" xfId="0" applyFont="1" applyFill="1" applyBorder="1" applyAlignment="1">
      <alignment horizontal="center" vertical="center" wrapText="1" readingOrder="1"/>
    </xf>
    <xf numFmtId="0" fontId="41" fillId="29" borderId="19" xfId="0" applyFont="1" applyFill="1" applyBorder="1" applyAlignment="1">
      <alignment horizontal="center" vertical="center" wrapText="1" readingOrder="1"/>
    </xf>
    <xf numFmtId="0" fontId="44" fillId="29" borderId="19" xfId="0" applyFont="1" applyFill="1" applyBorder="1" applyAlignment="1">
      <alignment horizontal="left" vertical="center" readingOrder="1"/>
    </xf>
    <xf numFmtId="0" fontId="41" fillId="29" borderId="15" xfId="0" applyFont="1" applyFill="1" applyBorder="1" applyAlignment="1">
      <alignment horizontal="center" vertical="center" wrapText="1" readingOrder="1"/>
    </xf>
    <xf numFmtId="0" fontId="36" fillId="0" borderId="1" xfId="0" applyFont="1" applyBorder="1" applyAlignment="1">
      <alignment horizontal="left" vertical="center" wrapText="1"/>
    </xf>
    <xf numFmtId="0" fontId="36" fillId="18" borderId="1" xfId="0" applyFont="1" applyFill="1" applyBorder="1" applyAlignment="1">
      <alignment horizontal="left" vertical="center" wrapText="1"/>
    </xf>
    <xf numFmtId="0" fontId="2" fillId="6" borderId="0" xfId="0" applyFont="1" applyFill="1"/>
    <xf numFmtId="0" fontId="26" fillId="4" borderId="2" xfId="2" applyFont="1" applyFill="1" applyBorder="1" applyAlignment="1">
      <alignment vertical="center"/>
    </xf>
    <xf numFmtId="0" fontId="26" fillId="4" borderId="5" xfId="2" applyFont="1" applyFill="1" applyBorder="1" applyAlignment="1">
      <alignment vertical="center"/>
    </xf>
    <xf numFmtId="0" fontId="13" fillId="10" borderId="0" xfId="1" applyFont="1" applyFill="1" applyAlignment="1">
      <alignment horizontal="center" shrinkToFit="1"/>
    </xf>
    <xf numFmtId="0" fontId="13" fillId="10" borderId="12" xfId="1" applyFont="1" applyFill="1" applyBorder="1"/>
    <xf numFmtId="4" fontId="13" fillId="10" borderId="5" xfId="1" applyNumberFormat="1" applyFont="1" applyFill="1" applyBorder="1"/>
    <xf numFmtId="0" fontId="13" fillId="10" borderId="5" xfId="2" applyFont="1" applyFill="1" applyBorder="1" applyProtection="1">
      <protection locked="0"/>
    </xf>
    <xf numFmtId="0" fontId="13" fillId="10" borderId="5" xfId="1" applyFont="1" applyFill="1" applyBorder="1" applyProtection="1">
      <protection locked="0"/>
    </xf>
    <xf numFmtId="0" fontId="14" fillId="10" borderId="5" xfId="1" applyFont="1" applyFill="1" applyBorder="1" applyProtection="1">
      <protection locked="0"/>
    </xf>
    <xf numFmtId="4" fontId="13" fillId="10" borderId="5" xfId="1" applyNumberFormat="1" applyFont="1" applyFill="1" applyBorder="1" applyProtection="1">
      <protection locked="0"/>
    </xf>
    <xf numFmtId="43" fontId="24" fillId="14" borderId="1" xfId="26" applyFont="1" applyFill="1" applyBorder="1" applyAlignment="1">
      <alignment shrinkToFit="1"/>
    </xf>
    <xf numFmtId="43" fontId="24" fillId="15" borderId="1" xfId="26" applyFont="1" applyFill="1" applyBorder="1" applyAlignment="1">
      <alignment shrinkToFit="1"/>
    </xf>
    <xf numFmtId="43" fontId="24" fillId="0" borderId="1" xfId="26" applyFont="1" applyBorder="1" applyAlignment="1">
      <alignment shrinkToFit="1"/>
    </xf>
    <xf numFmtId="43" fontId="24" fillId="0" borderId="1" xfId="26" applyFont="1" applyFill="1" applyBorder="1" applyAlignment="1">
      <alignment shrinkToFit="1"/>
    </xf>
    <xf numFmtId="43" fontId="13" fillId="7" borderId="3" xfId="26" applyFont="1" applyFill="1" applyBorder="1" applyAlignment="1" applyProtection="1">
      <alignment shrinkToFit="1"/>
      <protection locked="0"/>
    </xf>
    <xf numFmtId="43" fontId="13" fillId="6" borderId="3" xfId="26" applyFont="1" applyFill="1" applyBorder="1" applyAlignment="1" applyProtection="1">
      <alignment shrinkToFit="1"/>
      <protection locked="0"/>
    </xf>
    <xf numFmtId="43" fontId="13" fillId="22" borderId="3" xfId="26" applyFont="1" applyFill="1" applyBorder="1" applyAlignment="1" applyProtection="1">
      <alignment shrinkToFit="1"/>
      <protection locked="0"/>
    </xf>
    <xf numFmtId="43" fontId="13" fillId="0" borderId="3" xfId="26" applyFont="1" applyFill="1" applyBorder="1" applyAlignment="1" applyProtection="1">
      <alignment shrinkToFit="1"/>
      <protection locked="0"/>
    </xf>
    <xf numFmtId="43" fontId="24" fillId="7" borderId="1" xfId="26" applyFont="1" applyFill="1" applyBorder="1" applyAlignment="1">
      <alignment shrinkToFit="1"/>
    </xf>
    <xf numFmtId="43" fontId="25" fillId="0" borderId="1" xfId="26" applyFont="1" applyFill="1" applyBorder="1" applyAlignment="1">
      <alignment shrinkToFit="1"/>
    </xf>
    <xf numFmtId="43" fontId="24" fillId="25" borderId="1" xfId="26" applyFont="1" applyFill="1" applyBorder="1" applyAlignment="1">
      <alignment shrinkToFit="1"/>
    </xf>
    <xf numFmtId="43" fontId="24" fillId="0" borderId="6" xfId="26" applyFont="1" applyBorder="1" applyAlignment="1">
      <alignment shrinkToFit="1"/>
    </xf>
    <xf numFmtId="43" fontId="25" fillId="0" borderId="6" xfId="26" applyFont="1" applyFill="1" applyBorder="1" applyAlignment="1">
      <alignment shrinkToFit="1"/>
    </xf>
    <xf numFmtId="43" fontId="24" fillId="5" borderId="1" xfId="26" applyFont="1" applyFill="1" applyBorder="1" applyAlignment="1">
      <alignment shrinkToFit="1"/>
    </xf>
    <xf numFmtId="43" fontId="24" fillId="22" borderId="1" xfId="26" applyFont="1" applyFill="1" applyBorder="1" applyAlignment="1">
      <alignment shrinkToFit="1"/>
    </xf>
    <xf numFmtId="43" fontId="25" fillId="14" borderId="1" xfId="26" applyFont="1" applyFill="1" applyBorder="1" applyAlignment="1">
      <alignment shrinkToFit="1"/>
    </xf>
    <xf numFmtId="43" fontId="24" fillId="17" borderId="1" xfId="26" applyFont="1" applyFill="1" applyBorder="1" applyAlignment="1">
      <alignment shrinkToFit="1"/>
    </xf>
    <xf numFmtId="0" fontId="45" fillId="0" borderId="0" xfId="0" applyFont="1"/>
    <xf numFmtId="3" fontId="45" fillId="0" borderId="1" xfId="0" applyNumberFormat="1" applyFont="1" applyBorder="1"/>
    <xf numFmtId="0" fontId="24" fillId="8" borderId="3" xfId="2" applyFont="1" applyFill="1" applyBorder="1" applyAlignment="1">
      <alignment shrinkToFit="1"/>
    </xf>
    <xf numFmtId="43" fontId="24" fillId="8" borderId="1" xfId="5" applyFont="1" applyFill="1" applyBorder="1" applyAlignment="1">
      <alignment shrinkToFit="1"/>
    </xf>
    <xf numFmtId="43" fontId="24" fillId="14" borderId="1" xfId="26" applyFont="1" applyFill="1" applyBorder="1" applyAlignment="1"/>
    <xf numFmtId="43" fontId="24" fillId="20" borderId="1" xfId="26" applyFont="1" applyFill="1" applyBorder="1" applyAlignment="1"/>
    <xf numFmtId="43" fontId="24" fillId="0" borderId="1" xfId="26" applyFont="1" applyBorder="1"/>
    <xf numFmtId="43" fontId="24" fillId="16" borderId="1" xfId="26" applyFont="1" applyFill="1" applyBorder="1" applyAlignment="1"/>
    <xf numFmtId="43" fontId="24" fillId="8" borderId="1" xfId="26" applyFont="1" applyFill="1" applyBorder="1" applyAlignment="1"/>
    <xf numFmtId="43" fontId="24" fillId="0" borderId="1" xfId="26" applyFont="1" applyFill="1" applyBorder="1" applyAlignment="1"/>
    <xf numFmtId="43" fontId="24" fillId="23" borderId="1" xfId="26" applyFont="1" applyFill="1" applyBorder="1" applyAlignment="1">
      <alignment shrinkToFit="1"/>
    </xf>
    <xf numFmtId="43" fontId="24" fillId="23" borderId="1" xfId="26" applyFont="1" applyFill="1" applyBorder="1" applyAlignment="1"/>
    <xf numFmtId="43" fontId="24" fillId="5" borderId="1" xfId="26" applyFont="1" applyFill="1" applyBorder="1" applyAlignment="1"/>
    <xf numFmtId="43" fontId="24" fillId="12" borderId="1" xfId="26" applyFont="1" applyFill="1" applyBorder="1" applyAlignment="1"/>
    <xf numFmtId="43" fontId="24" fillId="0" borderId="0" xfId="26" applyFont="1" applyFill="1"/>
    <xf numFmtId="0" fontId="0" fillId="5" borderId="0" xfId="0" applyFill="1" applyAlignment="1">
      <alignment horizontal="center"/>
    </xf>
    <xf numFmtId="43" fontId="0" fillId="0" borderId="0" xfId="26" applyFont="1" applyFill="1" applyBorder="1"/>
    <xf numFmtId="43" fontId="0" fillId="27" borderId="0" xfId="26" applyFont="1" applyFill="1" applyBorder="1"/>
    <xf numFmtId="0" fontId="0" fillId="4" borderId="0" xfId="0" applyFill="1"/>
    <xf numFmtId="0" fontId="0" fillId="4" borderId="6" xfId="0" applyFill="1" applyBorder="1"/>
    <xf numFmtId="0" fontId="0" fillId="4" borderId="10" xfId="0" applyFill="1" applyBorder="1"/>
    <xf numFmtId="43" fontId="46" fillId="5" borderId="1" xfId="26" applyFont="1" applyFill="1" applyBorder="1"/>
    <xf numFmtId="3" fontId="0" fillId="22" borderId="0" xfId="0" applyNumberFormat="1" applyFill="1"/>
    <xf numFmtId="0" fontId="0" fillId="22" borderId="0" xfId="0" applyFill="1"/>
    <xf numFmtId="43" fontId="0" fillId="22" borderId="0" xfId="26" applyFont="1" applyFill="1" applyBorder="1"/>
    <xf numFmtId="0" fontId="34" fillId="23" borderId="1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3" fontId="35" fillId="12" borderId="1" xfId="26" applyFont="1" applyFill="1" applyBorder="1" applyAlignment="1">
      <alignment horizontal="center"/>
    </xf>
    <xf numFmtId="43" fontId="36" fillId="18" borderId="1" xfId="26" applyFont="1" applyFill="1" applyBorder="1"/>
    <xf numFmtId="43" fontId="36" fillId="21" borderId="1" xfId="26" applyFont="1" applyFill="1" applyBorder="1"/>
    <xf numFmtId="43" fontId="36" fillId="0" borderId="1" xfId="26" applyFont="1" applyBorder="1" applyAlignment="1">
      <alignment vertical="top"/>
    </xf>
    <xf numFmtId="0" fontId="1" fillId="6" borderId="0" xfId="0" applyFont="1" applyFill="1"/>
    <xf numFmtId="0" fontId="1" fillId="6" borderId="1" xfId="0" applyFont="1" applyFill="1" applyBorder="1"/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" fontId="29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14" fillId="4" borderId="5" xfId="2" applyFont="1" applyFill="1" applyBorder="1" applyAlignment="1">
      <alignment vertical="center"/>
    </xf>
    <xf numFmtId="4" fontId="13" fillId="31" borderId="3" xfId="3" applyNumberFormat="1" applyFont="1" applyFill="1" applyBorder="1" applyAlignment="1" applyProtection="1">
      <alignment shrinkToFit="1"/>
      <protection locked="0"/>
    </xf>
    <xf numFmtId="0" fontId="24" fillId="0" borderId="2" xfId="0" applyFont="1" applyBorder="1" applyAlignment="1">
      <alignment horizontal="left"/>
    </xf>
    <xf numFmtId="4" fontId="13" fillId="31" borderId="1" xfId="3" applyNumberFormat="1" applyFont="1" applyFill="1" applyBorder="1" applyAlignment="1" applyProtection="1">
      <alignment shrinkToFit="1"/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3" borderId="0" xfId="0" applyFill="1"/>
    <xf numFmtId="43" fontId="0" fillId="0" borderId="0" xfId="0" applyNumberFormat="1"/>
    <xf numFmtId="43" fontId="0" fillId="0" borderId="0" xfId="26" applyFont="1"/>
    <xf numFmtId="0" fontId="48" fillId="32" borderId="0" xfId="0" applyFont="1" applyFill="1" applyAlignment="1">
      <alignment horizontal="center" vertical="center" wrapText="1"/>
    </xf>
    <xf numFmtId="0" fontId="48" fillId="33" borderId="0" xfId="0" applyFont="1" applyFill="1" applyAlignment="1">
      <alignment vertical="top" wrapText="1"/>
    </xf>
    <xf numFmtId="0" fontId="49" fillId="33" borderId="0" xfId="0" applyFont="1" applyFill="1" applyAlignment="1">
      <alignment horizontal="left" vertical="top" wrapText="1"/>
    </xf>
    <xf numFmtId="0" fontId="48" fillId="33" borderId="0" xfId="0" applyFont="1" applyFill="1" applyAlignment="1">
      <alignment horizontal="left" vertical="top" wrapText="1"/>
    </xf>
    <xf numFmtId="0" fontId="0" fillId="5" borderId="0" xfId="0" applyFill="1"/>
    <xf numFmtId="0" fontId="0" fillId="34" borderId="0" xfId="0" applyFill="1"/>
    <xf numFmtId="0" fontId="10" fillId="0" borderId="0" xfId="27" applyFont="1" applyAlignment="1">
      <alignment horizontal="center"/>
    </xf>
    <xf numFmtId="4" fontId="0" fillId="12" borderId="0" xfId="0" applyNumberFormat="1" applyFill="1"/>
    <xf numFmtId="0" fontId="0" fillId="12" borderId="0" xfId="0" applyFill="1" applyAlignment="1">
      <alignment horizontal="center"/>
    </xf>
    <xf numFmtId="0" fontId="10" fillId="5" borderId="1" xfId="27" applyFont="1" applyFill="1" applyBorder="1"/>
    <xf numFmtId="0" fontId="0" fillId="11" borderId="0" xfId="0" applyFill="1" applyAlignment="1">
      <alignment horizontal="center"/>
    </xf>
    <xf numFmtId="0" fontId="50" fillId="5" borderId="0" xfId="0" applyFont="1" applyFill="1"/>
    <xf numFmtId="4" fontId="11" fillId="5" borderId="0" xfId="0" applyNumberFormat="1" applyFont="1" applyFill="1"/>
    <xf numFmtId="4" fontId="13" fillId="0" borderId="3" xfId="3" applyNumberFormat="1" applyFont="1" applyFill="1" applyBorder="1" applyAlignment="1" applyProtection="1">
      <alignment shrinkToFit="1"/>
      <protection locked="0"/>
    </xf>
    <xf numFmtId="4" fontId="29" fillId="0" borderId="3" xfId="3" applyNumberFormat="1" applyFont="1" applyFill="1" applyBorder="1" applyAlignment="1" applyProtection="1">
      <alignment shrinkToFit="1"/>
      <protection locked="0"/>
    </xf>
    <xf numFmtId="0" fontId="13" fillId="35" borderId="1" xfId="1" applyFont="1" applyFill="1" applyBorder="1" applyAlignment="1">
      <alignment horizontal="center" shrinkToFit="1"/>
    </xf>
    <xf numFmtId="0" fontId="13" fillId="35" borderId="2" xfId="1" applyFont="1" applyFill="1" applyBorder="1" applyAlignment="1">
      <alignment horizontal="center"/>
    </xf>
    <xf numFmtId="0" fontId="13" fillId="35" borderId="3" xfId="1" applyFont="1" applyFill="1" applyBorder="1"/>
    <xf numFmtId="0" fontId="13" fillId="35" borderId="5" xfId="1" applyFont="1" applyFill="1" applyBorder="1"/>
    <xf numFmtId="0" fontId="13" fillId="0" borderId="1" xfId="2" applyFont="1" applyBorder="1" applyProtection="1">
      <protection locked="0"/>
    </xf>
    <xf numFmtId="4" fontId="29" fillId="0" borderId="1" xfId="3" applyNumberFormat="1" applyFont="1" applyFill="1" applyBorder="1" applyAlignment="1" applyProtection="1">
      <alignment shrinkToFit="1"/>
      <protection locked="0"/>
    </xf>
    <xf numFmtId="0" fontId="13" fillId="0" borderId="3" xfId="2" applyFont="1" applyBorder="1" applyAlignment="1" applyProtection="1">
      <alignment shrinkToFit="1"/>
      <protection locked="0"/>
    </xf>
    <xf numFmtId="4" fontId="13" fillId="0" borderId="2" xfId="3" applyNumberFormat="1" applyFont="1" applyFill="1" applyBorder="1" applyAlignment="1" applyProtection="1">
      <alignment shrinkToFit="1"/>
      <protection locked="0"/>
    </xf>
    <xf numFmtId="4" fontId="13" fillId="6" borderId="2" xfId="3" applyNumberFormat="1" applyFont="1" applyFill="1" applyBorder="1" applyAlignment="1" applyProtection="1">
      <alignment shrinkToFit="1"/>
      <protection locked="0"/>
    </xf>
    <xf numFmtId="4" fontId="13" fillId="0" borderId="2" xfId="2" applyNumberFormat="1" applyFont="1" applyBorder="1" applyProtection="1">
      <protection locked="0"/>
    </xf>
    <xf numFmtId="4" fontId="1" fillId="0" borderId="1" xfId="1" applyNumberFormat="1" applyFont="1" applyBorder="1" applyProtection="1">
      <protection locked="0"/>
    </xf>
    <xf numFmtId="4" fontId="29" fillId="6" borderId="1" xfId="1" applyNumberFormat="1" applyFont="1" applyFill="1" applyBorder="1"/>
    <xf numFmtId="0" fontId="0" fillId="35" borderId="0" xfId="0" applyFill="1"/>
    <xf numFmtId="191" fontId="0" fillId="0" borderId="0" xfId="26" applyNumberFormat="1" applyFont="1"/>
    <xf numFmtId="0" fontId="48" fillId="34" borderId="0" xfId="0" applyFont="1" applyFill="1" applyAlignment="1">
      <alignment horizontal="center" vertical="center" wrapText="1"/>
    </xf>
    <xf numFmtId="43" fontId="0" fillId="34" borderId="0" xfId="26" applyFont="1" applyFill="1"/>
    <xf numFmtId="0" fontId="24" fillId="13" borderId="6" xfId="2" applyFont="1" applyFill="1" applyBorder="1" applyAlignment="1">
      <alignment vertical="center" shrinkToFit="1"/>
    </xf>
    <xf numFmtId="49" fontId="24" fillId="13" borderId="8" xfId="2" applyNumberFormat="1" applyFont="1" applyFill="1" applyBorder="1" applyAlignment="1">
      <alignment horizontal="center" vertical="center" shrinkToFit="1"/>
    </xf>
    <xf numFmtId="49" fontId="24" fillId="27" borderId="8" xfId="2" applyNumberFormat="1" applyFont="1" applyFill="1" applyBorder="1" applyAlignment="1">
      <alignment horizontal="center" vertical="center" shrinkToFit="1"/>
    </xf>
    <xf numFmtId="0" fontId="1" fillId="7" borderId="1" xfId="0" applyFont="1" applyFill="1" applyBorder="1"/>
    <xf numFmtId="43" fontId="13" fillId="5" borderId="3" xfId="26" applyFont="1" applyFill="1" applyBorder="1" applyAlignment="1" applyProtection="1">
      <alignment shrinkToFit="1"/>
      <protection locked="0"/>
    </xf>
    <xf numFmtId="49" fontId="24" fillId="36" borderId="8" xfId="2" applyNumberFormat="1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shrinkToFit="1"/>
    </xf>
    <xf numFmtId="0" fontId="24" fillId="5" borderId="5" xfId="0" applyFont="1" applyFill="1" applyBorder="1"/>
    <xf numFmtId="0" fontId="24" fillId="5" borderId="3" xfId="2" applyFont="1" applyFill="1" applyBorder="1" applyAlignment="1">
      <alignment shrinkToFit="1"/>
    </xf>
    <xf numFmtId="0" fontId="24" fillId="5" borderId="2" xfId="0" applyFont="1" applyFill="1" applyBorder="1" applyAlignment="1">
      <alignment horizontal="left"/>
    </xf>
    <xf numFmtId="0" fontId="24" fillId="37" borderId="2" xfId="0" applyFont="1" applyFill="1" applyBorder="1"/>
    <xf numFmtId="0" fontId="24" fillId="37" borderId="5" xfId="0" applyFont="1" applyFill="1" applyBorder="1"/>
    <xf numFmtId="3" fontId="24" fillId="37" borderId="3" xfId="0" applyNumberFormat="1" applyFont="1" applyFill="1" applyBorder="1"/>
    <xf numFmtId="0" fontId="24" fillId="0" borderId="2" xfId="0" applyFont="1" applyBorder="1"/>
    <xf numFmtId="3" fontId="24" fillId="0" borderId="5" xfId="0" applyNumberFormat="1" applyFont="1" applyBorder="1"/>
    <xf numFmtId="3" fontId="24" fillId="0" borderId="3" xfId="0" applyNumberFormat="1" applyFont="1" applyBorder="1"/>
    <xf numFmtId="192" fontId="15" fillId="0" borderId="1" xfId="0" applyNumberFormat="1" applyFont="1" applyBorder="1" applyAlignment="1">
      <alignment horizontal="left" vertical="top"/>
    </xf>
    <xf numFmtId="0" fontId="15" fillId="0" borderId="1" xfId="2" applyFont="1" applyBorder="1" applyAlignment="1">
      <alignment vertical="top"/>
    </xf>
    <xf numFmtId="192" fontId="15" fillId="0" borderId="1" xfId="26" applyNumberFormat="1" applyFont="1" applyFill="1" applyBorder="1" applyAlignment="1">
      <alignment horizontal="left" vertical="top"/>
    </xf>
    <xf numFmtId="0" fontId="53" fillId="0" borderId="1" xfId="2" applyFont="1" applyBorder="1" applyAlignment="1">
      <alignment vertical="top"/>
    </xf>
    <xf numFmtId="0" fontId="54" fillId="0" borderId="20" xfId="28" applyFont="1" applyBorder="1"/>
    <xf numFmtId="192" fontId="55" fillId="0" borderId="1" xfId="0" applyNumberFormat="1" applyFont="1" applyBorder="1" applyAlignment="1">
      <alignment horizontal="left" vertical="top"/>
    </xf>
    <xf numFmtId="0" fontId="55" fillId="0" borderId="1" xfId="2" applyFont="1" applyBorder="1" applyAlignment="1">
      <alignment vertical="top"/>
    </xf>
    <xf numFmtId="192" fontId="55" fillId="11" borderId="1" xfId="0" applyNumberFormat="1" applyFont="1" applyFill="1" applyBorder="1" applyAlignment="1">
      <alignment horizontal="left" vertical="top"/>
    </xf>
    <xf numFmtId="0" fontId="15" fillId="11" borderId="1" xfId="2" applyFont="1" applyFill="1" applyBorder="1" applyAlignment="1">
      <alignment vertical="top"/>
    </xf>
    <xf numFmtId="0" fontId="15" fillId="0" borderId="1" xfId="2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5" fillId="0" borderId="1" xfId="29" applyFont="1" applyBorder="1" applyAlignment="1">
      <alignment vertical="top"/>
    </xf>
    <xf numFmtId="0" fontId="56" fillId="11" borderId="20" xfId="27" applyFont="1" applyFill="1" applyBorder="1"/>
    <xf numFmtId="49" fontId="15" fillId="0" borderId="1" xfId="0" applyNumberFormat="1" applyFont="1" applyBorder="1" applyAlignment="1">
      <alignment horizontal="left" vertical="top"/>
    </xf>
    <xf numFmtId="0" fontId="0" fillId="36" borderId="1" xfId="0" applyFill="1" applyBorder="1"/>
    <xf numFmtId="3" fontId="0" fillId="36" borderId="1" xfId="0" applyNumberFormat="1" applyFill="1" applyBorder="1"/>
    <xf numFmtId="3" fontId="0" fillId="36" borderId="0" xfId="0" applyNumberFormat="1" applyFill="1"/>
    <xf numFmtId="191" fontId="0" fillId="38" borderId="0" xfId="26" applyNumberFormat="1" applyFont="1" applyFill="1"/>
    <xf numFmtId="191" fontId="0" fillId="5" borderId="1" xfId="26" applyNumberFormat="1" applyFont="1" applyFill="1" applyBorder="1"/>
    <xf numFmtId="0" fontId="11" fillId="0" borderId="0" xfId="0" applyFont="1" applyProtection="1">
      <protection locked="0"/>
    </xf>
    <xf numFmtId="0" fontId="32" fillId="0" borderId="0" xfId="0" applyFont="1"/>
    <xf numFmtId="0" fontId="13" fillId="0" borderId="1" xfId="2" applyFont="1" applyBorder="1"/>
    <xf numFmtId="0" fontId="1" fillId="0" borderId="1" xfId="0" applyFont="1" applyBorder="1"/>
    <xf numFmtId="0" fontId="13" fillId="10" borderId="5" xfId="1" applyFont="1" applyFill="1" applyBorder="1"/>
    <xf numFmtId="0" fontId="1" fillId="0" borderId="0" xfId="0" applyFont="1" applyProtection="1">
      <protection locked="0"/>
    </xf>
    <xf numFmtId="193" fontId="13" fillId="0" borderId="3" xfId="26" applyNumberFormat="1" applyFont="1" applyFill="1" applyBorder="1" applyAlignment="1" applyProtection="1">
      <alignment shrinkToFit="1"/>
      <protection locked="0"/>
    </xf>
    <xf numFmtId="193" fontId="29" fillId="0" borderId="3" xfId="26" applyNumberFormat="1" applyFont="1" applyFill="1" applyBorder="1" applyAlignment="1" applyProtection="1">
      <alignment shrinkToFit="1"/>
      <protection locked="0"/>
    </xf>
    <xf numFmtId="193" fontId="13" fillId="6" borderId="3" xfId="26" applyNumberFormat="1" applyFont="1" applyFill="1" applyBorder="1" applyAlignment="1" applyProtection="1">
      <alignment shrinkToFit="1"/>
      <protection locked="0"/>
    </xf>
    <xf numFmtId="193" fontId="29" fillId="6" borderId="3" xfId="26" applyNumberFormat="1" applyFont="1" applyFill="1" applyBorder="1" applyAlignment="1" applyProtection="1">
      <alignment shrinkToFit="1"/>
      <protection locked="0"/>
    </xf>
    <xf numFmtId="193" fontId="13" fillId="0" borderId="1" xfId="26" applyNumberFormat="1" applyFont="1" applyFill="1" applyBorder="1" applyAlignment="1" applyProtection="1">
      <alignment shrinkToFit="1"/>
      <protection locked="0"/>
    </xf>
    <xf numFmtId="193" fontId="29" fillId="0" borderId="1" xfId="26" applyNumberFormat="1" applyFont="1" applyFill="1" applyBorder="1" applyAlignment="1" applyProtection="1">
      <alignment shrinkToFit="1"/>
      <protection locked="0"/>
    </xf>
    <xf numFmtId="193" fontId="13" fillId="0" borderId="1" xfId="26" applyNumberFormat="1" applyFont="1" applyBorder="1" applyAlignment="1" applyProtection="1">
      <alignment horizontal="right"/>
      <protection locked="0"/>
    </xf>
    <xf numFmtId="193" fontId="13" fillId="0" borderId="1" xfId="26" applyNumberFormat="1" applyFont="1" applyBorder="1" applyProtection="1">
      <protection locked="0"/>
    </xf>
    <xf numFmtId="193" fontId="13" fillId="7" borderId="1" xfId="26" applyNumberFormat="1" applyFont="1" applyFill="1" applyBorder="1" applyProtection="1">
      <protection locked="0"/>
    </xf>
    <xf numFmtId="193" fontId="13" fillId="6" borderId="1" xfId="26" applyNumberFormat="1" applyFont="1" applyFill="1" applyBorder="1" applyProtection="1">
      <protection locked="0"/>
    </xf>
    <xf numFmtId="4" fontId="13" fillId="34" borderId="3" xfId="3" applyNumberFormat="1" applyFont="1" applyFill="1" applyBorder="1" applyAlignment="1" applyProtection="1">
      <alignment shrinkToFit="1"/>
      <protection locked="0"/>
    </xf>
    <xf numFmtId="4" fontId="13" fillId="34" borderId="1" xfId="1" applyNumberFormat="1" applyFont="1" applyFill="1" applyBorder="1"/>
    <xf numFmtId="193" fontId="0" fillId="37" borderId="1" xfId="26" applyNumberFormat="1" applyFont="1" applyFill="1" applyBorder="1"/>
    <xf numFmtId="193" fontId="13" fillId="5" borderId="1" xfId="26" applyNumberFormat="1" applyFont="1" applyFill="1" applyBorder="1" applyProtection="1">
      <protection locked="0"/>
    </xf>
    <xf numFmtId="193" fontId="13" fillId="0" borderId="1" xfId="26" applyNumberFormat="1" applyFont="1" applyFill="1" applyBorder="1" applyProtection="1">
      <protection locked="0"/>
    </xf>
    <xf numFmtId="193" fontId="0" fillId="0" borderId="1" xfId="26" applyNumberFormat="1" applyFont="1" applyFill="1" applyBorder="1"/>
    <xf numFmtId="191" fontId="0" fillId="0" borderId="1" xfId="26" applyNumberFormat="1" applyFont="1" applyBorder="1"/>
    <xf numFmtId="193" fontId="29" fillId="5" borderId="1" xfId="26" applyNumberFormat="1" applyFont="1" applyFill="1" applyBorder="1" applyAlignment="1" applyProtection="1">
      <alignment shrinkToFit="1"/>
      <protection locked="0"/>
    </xf>
    <xf numFmtId="193" fontId="29" fillId="0" borderId="1" xfId="26" applyNumberFormat="1" applyFont="1" applyBorder="1" applyProtection="1">
      <protection locked="0"/>
    </xf>
    <xf numFmtId="193" fontId="13" fillId="0" borderId="1" xfId="54" applyNumberFormat="1" applyFont="1" applyFill="1" applyBorder="1" applyAlignment="1" applyProtection="1">
      <alignment shrinkToFit="1"/>
      <protection locked="0"/>
    </xf>
    <xf numFmtId="193" fontId="13" fillId="8" borderId="1" xfId="26" applyNumberFormat="1" applyFont="1" applyFill="1" applyBorder="1"/>
    <xf numFmtId="193" fontId="13" fillId="7" borderId="3" xfId="26" applyNumberFormat="1" applyFont="1" applyFill="1" applyBorder="1" applyAlignment="1" applyProtection="1">
      <alignment shrinkToFit="1"/>
      <protection locked="0"/>
    </xf>
    <xf numFmtId="193" fontId="0" fillId="0" borderId="0" xfId="26" applyNumberFormat="1" applyFont="1"/>
    <xf numFmtId="193" fontId="13" fillId="0" borderId="3" xfId="54" applyNumberFormat="1" applyFont="1" applyFill="1" applyBorder="1" applyAlignment="1" applyProtection="1">
      <alignment shrinkToFit="1"/>
      <protection locked="0"/>
    </xf>
    <xf numFmtId="193" fontId="13" fillId="0" borderId="1" xfId="1" applyNumberFormat="1" applyFont="1" applyBorder="1" applyProtection="1">
      <protection locked="0"/>
    </xf>
    <xf numFmtId="193" fontId="29" fillId="0" borderId="1" xfId="54" applyNumberFormat="1" applyFont="1" applyFill="1" applyBorder="1" applyAlignment="1" applyProtection="1">
      <alignment shrinkToFit="1"/>
      <protection locked="0"/>
    </xf>
    <xf numFmtId="4" fontId="13" fillId="5" borderId="3" xfId="47" applyNumberFormat="1" applyFont="1" applyFill="1" applyBorder="1" applyAlignment="1" applyProtection="1">
      <alignment shrinkToFit="1"/>
      <protection locked="0"/>
    </xf>
    <xf numFmtId="4" fontId="13" fillId="0" borderId="3" xfId="47" applyNumberFormat="1" applyFont="1" applyFill="1" applyBorder="1" applyAlignment="1" applyProtection="1">
      <alignment shrinkToFit="1"/>
      <protection locked="0"/>
    </xf>
    <xf numFmtId="193" fontId="29" fillId="6" borderId="3" xfId="26" applyNumberFormat="1" applyFont="1" applyFill="1" applyBorder="1" applyAlignment="1" applyProtection="1">
      <alignment vertical="center" shrinkToFit="1"/>
      <protection locked="0"/>
    </xf>
    <xf numFmtId="0" fontId="13" fillId="5" borderId="5" xfId="2" applyFont="1" applyFill="1" applyBorder="1" applyAlignment="1" applyProtection="1">
      <alignment shrinkToFit="1"/>
      <protection locked="0"/>
    </xf>
    <xf numFmtId="0" fontId="11" fillId="5" borderId="1" xfId="0" applyFont="1" applyFill="1" applyBorder="1"/>
    <xf numFmtId="0" fontId="13" fillId="11" borderId="1" xfId="1" applyFont="1" applyFill="1" applyBorder="1" applyAlignment="1" applyProtection="1">
      <alignment horizontal="center" shrinkToFit="1"/>
      <protection locked="0"/>
    </xf>
    <xf numFmtId="0" fontId="13" fillId="11" borderId="2" xfId="1" applyFont="1" applyFill="1" applyBorder="1" applyAlignment="1" applyProtection="1">
      <alignment horizontal="center"/>
      <protection locked="0"/>
    </xf>
    <xf numFmtId="0" fontId="13" fillId="11" borderId="5" xfId="1" applyFont="1" applyFill="1" applyBorder="1" applyAlignment="1" applyProtection="1">
      <alignment horizontal="center"/>
      <protection locked="0"/>
    </xf>
    <xf numFmtId="0" fontId="13" fillId="11" borderId="3" xfId="2" applyFont="1" applyFill="1" applyBorder="1" applyAlignment="1" applyProtection="1">
      <alignment shrinkToFit="1"/>
      <protection locked="0"/>
    </xf>
    <xf numFmtId="4" fontId="13" fillId="11" borderId="3" xfId="3" applyNumberFormat="1" applyFont="1" applyFill="1" applyBorder="1" applyAlignment="1" applyProtection="1">
      <alignment shrinkToFit="1"/>
      <protection locked="0"/>
    </xf>
    <xf numFmtId="193" fontId="13" fillId="11" borderId="1" xfId="26" applyNumberFormat="1" applyFont="1" applyFill="1" applyBorder="1" applyAlignment="1" applyProtection="1">
      <alignment horizontal="right"/>
      <protection locked="0"/>
    </xf>
    <xf numFmtId="193" fontId="13" fillId="11" borderId="1" xfId="26" applyNumberFormat="1" applyFont="1" applyFill="1" applyBorder="1" applyProtection="1">
      <protection locked="0"/>
    </xf>
    <xf numFmtId="193" fontId="13" fillId="11" borderId="3" xfId="26" applyNumberFormat="1" applyFont="1" applyFill="1" applyBorder="1" applyAlignment="1" applyProtection="1">
      <alignment shrinkToFit="1"/>
      <protection locked="0"/>
    </xf>
    <xf numFmtId="193" fontId="13" fillId="11" borderId="0" xfId="26" applyNumberFormat="1" applyFont="1" applyFill="1" applyProtection="1">
      <protection locked="0"/>
    </xf>
    <xf numFmtId="4" fontId="13" fillId="11" borderId="1" xfId="1" applyNumberFormat="1" applyFont="1" applyFill="1" applyBorder="1" applyProtection="1">
      <protection locked="0"/>
    </xf>
    <xf numFmtId="0" fontId="13" fillId="11" borderId="0" xfId="0" applyFont="1" applyFill="1" applyProtection="1">
      <protection locked="0"/>
    </xf>
    <xf numFmtId="0" fontId="13" fillId="5" borderId="1" xfId="1" applyFont="1" applyFill="1" applyBorder="1" applyAlignment="1" applyProtection="1">
      <alignment horizontal="center" shrinkToFit="1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5" xfId="1" applyFont="1" applyFill="1" applyBorder="1" applyAlignment="1" applyProtection="1">
      <alignment horizontal="center"/>
      <protection locked="0"/>
    </xf>
    <xf numFmtId="4" fontId="13" fillId="5" borderId="3" xfId="3" applyNumberFormat="1" applyFont="1" applyFill="1" applyBorder="1" applyAlignment="1" applyProtection="1">
      <alignment shrinkToFit="1"/>
      <protection locked="0"/>
    </xf>
    <xf numFmtId="193" fontId="13" fillId="5" borderId="1" xfId="26" applyNumberFormat="1" applyFont="1" applyFill="1" applyBorder="1" applyAlignment="1" applyProtection="1">
      <alignment horizontal="right"/>
      <protection locked="0"/>
    </xf>
    <xf numFmtId="193" fontId="13" fillId="5" borderId="3" xfId="26" applyNumberFormat="1" applyFont="1" applyFill="1" applyBorder="1" applyAlignment="1" applyProtection="1">
      <alignment shrinkToFit="1"/>
      <protection locked="0"/>
    </xf>
    <xf numFmtId="4" fontId="13" fillId="5" borderId="1" xfId="1" applyNumberFormat="1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" fontId="13" fillId="2" borderId="2" xfId="2" applyNumberFormat="1" applyFont="1" applyFill="1" applyBorder="1" applyAlignment="1" applyProtection="1">
      <alignment horizontal="center" vertical="center" shrinkToFit="1"/>
      <protection locked="0"/>
    </xf>
    <xf numFmtId="4" fontId="13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2" applyFont="1" applyAlignment="1">
      <alignment horizontal="center"/>
    </xf>
    <xf numFmtId="0" fontId="24" fillId="13" borderId="6" xfId="2" applyFont="1" applyFill="1" applyBorder="1" applyAlignment="1">
      <alignment horizontal="center" vertical="center" shrinkToFit="1"/>
    </xf>
    <xf numFmtId="0" fontId="24" fillId="13" borderId="9" xfId="2" applyFont="1" applyFill="1" applyBorder="1" applyAlignment="1">
      <alignment horizontal="center" vertical="center" shrinkToFit="1"/>
    </xf>
    <xf numFmtId="0" fontId="24" fillId="13" borderId="11" xfId="2" applyFont="1" applyFill="1" applyBorder="1" applyAlignment="1">
      <alignment horizontal="center" vertical="center" shrinkToFit="1"/>
    </xf>
    <xf numFmtId="0" fontId="24" fillId="13" borderId="12" xfId="2" applyFont="1" applyFill="1" applyBorder="1" applyAlignment="1">
      <alignment horizontal="center" vertical="center" shrinkToFit="1"/>
    </xf>
    <xf numFmtId="0" fontId="24" fillId="13" borderId="13" xfId="2" applyFont="1" applyFill="1" applyBorder="1" applyAlignment="1">
      <alignment horizontal="center" vertical="center" shrinkToFit="1"/>
    </xf>
    <xf numFmtId="0" fontId="24" fillId="13" borderId="7" xfId="2" applyFont="1" applyFill="1" applyBorder="1" applyAlignment="1">
      <alignment horizontal="center" vertical="center" shrinkToFit="1"/>
    </xf>
    <xf numFmtId="0" fontId="24" fillId="13" borderId="4" xfId="2" applyFont="1" applyFill="1" applyBorder="1" applyAlignment="1">
      <alignment horizontal="center" vertical="center" shrinkToFit="1"/>
    </xf>
    <xf numFmtId="0" fontId="24" fillId="13" borderId="8" xfId="2" applyFont="1" applyFill="1" applyBorder="1" applyAlignment="1">
      <alignment horizontal="center" vertical="center" shrinkToFit="1"/>
    </xf>
    <xf numFmtId="3" fontId="24" fillId="13" borderId="2" xfId="2" applyNumberFormat="1" applyFont="1" applyFill="1" applyBorder="1" applyAlignment="1">
      <alignment horizontal="center" vertical="center" shrinkToFit="1"/>
    </xf>
    <xf numFmtId="3" fontId="24" fillId="13" borderId="3" xfId="2" applyNumberFormat="1" applyFont="1" applyFill="1" applyBorder="1" applyAlignment="1">
      <alignment horizontal="center" vertical="center" shrinkToFit="1"/>
    </xf>
    <xf numFmtId="3" fontId="24" fillId="13" borderId="2" xfId="0" applyNumberFormat="1" applyFont="1" applyFill="1" applyBorder="1" applyAlignment="1">
      <alignment horizontal="center"/>
    </xf>
    <xf numFmtId="3" fontId="24" fillId="13" borderId="3" xfId="0" applyNumberFormat="1" applyFont="1" applyFill="1" applyBorder="1" applyAlignment="1">
      <alignment horizontal="center"/>
    </xf>
    <xf numFmtId="3" fontId="24" fillId="13" borderId="1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3" fontId="24" fillId="0" borderId="2" xfId="0" applyNumberFormat="1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3" borderId="0" xfId="26" applyFont="1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42" fillId="28" borderId="15" xfId="0" applyFont="1" applyFill="1" applyBorder="1" applyAlignment="1">
      <alignment horizontal="center" vertical="center" wrapText="1" readingOrder="1"/>
    </xf>
    <xf numFmtId="0" fontId="42" fillId="28" borderId="16" xfId="0" applyFont="1" applyFill="1" applyBorder="1" applyAlignment="1">
      <alignment horizontal="center" vertical="center" wrapText="1" readingOrder="1"/>
    </xf>
    <xf numFmtId="0" fontId="42" fillId="28" borderId="17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4" fillId="27" borderId="2" xfId="2" applyFont="1" applyFill="1" applyBorder="1" applyAlignment="1">
      <alignment horizontal="center" vertical="center" shrinkToFit="1"/>
    </xf>
    <xf numFmtId="0" fontId="24" fillId="27" borderId="5" xfId="2" applyFont="1" applyFill="1" applyBorder="1" applyAlignment="1">
      <alignment horizontal="center" vertical="center" shrinkToFit="1"/>
    </xf>
    <xf numFmtId="0" fontId="24" fillId="27" borderId="3" xfId="2" applyFont="1" applyFill="1" applyBorder="1" applyAlignment="1">
      <alignment horizontal="center" vertical="center" shrinkToFit="1"/>
    </xf>
    <xf numFmtId="0" fontId="24" fillId="36" borderId="7" xfId="2" applyFont="1" applyFill="1" applyBorder="1" applyAlignment="1">
      <alignment horizontal="center" vertical="center" shrinkToFit="1"/>
    </xf>
    <xf numFmtId="0" fontId="24" fillId="36" borderId="4" xfId="2" applyFont="1" applyFill="1" applyBorder="1" applyAlignment="1">
      <alignment horizontal="center" vertical="center" shrinkToFit="1"/>
    </xf>
    <xf numFmtId="0" fontId="24" fillId="36" borderId="8" xfId="2" applyFont="1" applyFill="1" applyBorder="1" applyAlignment="1">
      <alignment horizontal="center" vertical="center" shrinkToFit="1"/>
    </xf>
    <xf numFmtId="0" fontId="13" fillId="5" borderId="1" xfId="2" applyFont="1" applyFill="1" applyBorder="1" applyProtection="1">
      <protection locked="0"/>
    </xf>
  </cellXfs>
  <cellStyles count="55">
    <cellStyle name="Comma 2" xfId="4" xr:uid="{00000000-0005-0000-0000-000000000000}"/>
    <cellStyle name="Comma 2 2" xfId="5" xr:uid="{00000000-0005-0000-0000-000001000000}"/>
    <cellStyle name="Comma 2 2 2" xfId="31" xr:uid="{6EB4C2C0-19AB-4BCE-BE0C-5EA613E511C2}"/>
    <cellStyle name="Comma 2 2 3" xfId="41" xr:uid="{30B32F93-4106-41C7-9476-564398C96555}"/>
    <cellStyle name="Comma 2 2 4" xfId="48" xr:uid="{FFAD589B-A4FD-42CF-B0E2-593C6C5963C5}"/>
    <cellStyle name="Comma 3" xfId="6" xr:uid="{00000000-0005-0000-0000-000002000000}"/>
    <cellStyle name="Comma 3 2" xfId="32" xr:uid="{F25D31CA-90D6-41A3-8F74-682529670022}"/>
    <cellStyle name="Comma 3 3" xfId="42" xr:uid="{3DE9341D-4EAE-41EA-9231-8A806A826CBB}"/>
    <cellStyle name="Comma 3 4" xfId="49" xr:uid="{1BB540DB-9ACC-40D8-969A-E7BC1FADA305}"/>
    <cellStyle name="Comma 4" xfId="7" xr:uid="{00000000-0005-0000-0000-000003000000}"/>
    <cellStyle name="Comma 4 2" xfId="33" xr:uid="{3E08192C-AA15-4505-A4D8-0C6B69ADAE8B}"/>
    <cellStyle name="Comma 4 3" xfId="43" xr:uid="{54D1DD1C-E875-4058-921A-4BA5AD24E3F3}"/>
    <cellStyle name="Comma 4 4" xfId="50" xr:uid="{33BF0029-7475-473B-BEC4-B58C7A8161CD}"/>
    <cellStyle name="Normal 2" xfId="8" xr:uid="{00000000-0005-0000-0000-000004000000}"/>
    <cellStyle name="Normal 2 2" xfId="9" xr:uid="{00000000-0005-0000-0000-000005000000}"/>
    <cellStyle name="Normal 3" xfId="10" xr:uid="{00000000-0005-0000-0000-000006000000}"/>
    <cellStyle name="Normal 4" xfId="11" xr:uid="{00000000-0005-0000-0000-000007000000}"/>
    <cellStyle name="Normal 5" xfId="12" xr:uid="{00000000-0005-0000-0000-000008000000}"/>
    <cellStyle name="Normal 6" xfId="13" xr:uid="{00000000-0005-0000-0000-000009000000}"/>
    <cellStyle name="Normal_COA_V27_23Nov04_ForMeeting" xfId="29" xr:uid="{00000000-0005-0000-0000-00000A000000}"/>
    <cellStyle name="Normal_Sheet4" xfId="27" xr:uid="{00000000-0005-0000-0000-00000B000000}"/>
    <cellStyle name="เครื่องหมายจุลภาค 2" xfId="3" xr:uid="{00000000-0005-0000-0000-00000D000000}"/>
    <cellStyle name="เครื่องหมายจุลภาค 2 2" xfId="14" xr:uid="{00000000-0005-0000-0000-00000E000000}"/>
    <cellStyle name="เครื่องหมายจุลภาค 2 2 2" xfId="34" xr:uid="{F9B89E9C-986E-4DB4-865D-C3DA884E11AB}"/>
    <cellStyle name="เครื่องหมายจุลภาค 2 2 3" xfId="44" xr:uid="{61B42D43-7C9F-4EEE-AF22-5FEC22CEF493}"/>
    <cellStyle name="เครื่องหมายจุลภาค 2 2 4" xfId="51" xr:uid="{30A11542-11E1-4FB4-999B-8864FE1377F8}"/>
    <cellStyle name="เครื่องหมายจุลภาค 2 3" xfId="15" xr:uid="{00000000-0005-0000-0000-00000F000000}"/>
    <cellStyle name="เครื่องหมายจุลภาค 2 3 2" xfId="35" xr:uid="{EBFB9C4B-6427-4608-B69E-5058A7F1FA68}"/>
    <cellStyle name="เครื่องหมายจุลภาค 2 3 3" xfId="45" xr:uid="{3A6ECA09-52C9-4EF5-8D9D-FDEC37173E80}"/>
    <cellStyle name="เครื่องหมายจุลภาค 2 3 4" xfId="52" xr:uid="{35C3BB01-1E51-4F9B-B8F0-B4BDCDFAECFD}"/>
    <cellStyle name="เครื่องหมายจุลภาค 2 4" xfId="30" xr:uid="{CC5CDED0-398D-416F-AF35-2D87445808F2}"/>
    <cellStyle name="เครื่องหมายจุลภาค 2 5" xfId="40" xr:uid="{AAE5CDFA-12C0-4BC3-89F9-2384E6D4D2B2}"/>
    <cellStyle name="เครื่องหมายจุลภาค 2 6" xfId="47" xr:uid="{8315C8FE-823A-4AA4-9108-B6669E4AF2B4}"/>
    <cellStyle name="เครื่องหมายจุลภาค 2 7" xfId="54" xr:uid="{76132B94-8DD8-43E4-9E3E-CFD4732E05DD}"/>
    <cellStyle name="เครื่องหมายจุลภาค 3" xfId="16" xr:uid="{00000000-0005-0000-0000-000010000000}"/>
    <cellStyle name="เครื่องหมายจุลภาค 4" xfId="17" xr:uid="{00000000-0005-0000-0000-000011000000}"/>
    <cellStyle name="เครื่องหมายจุลภาค 4 2" xfId="36" xr:uid="{91245F47-555A-4B63-833E-46463095F1F5}"/>
    <cellStyle name="เครื่องหมายจุลภาค_Sheet1" xfId="37" xr:uid="{BB131723-109E-465D-827D-8DBC7AEBD205}"/>
    <cellStyle name="จุลภาค" xfId="26" builtinId="3"/>
    <cellStyle name="จุลภาค 2" xfId="39" xr:uid="{C49EF69B-46D3-4FD3-9B5D-A8DDC9424879}"/>
    <cellStyle name="จุลภาค 3" xfId="46" xr:uid="{8E4D1253-C094-4B9F-AACC-CEB6F9308013}"/>
    <cellStyle name="จุลภาค 4" xfId="53" xr:uid="{C2C6846D-285E-4831-9120-44EEA6B237C7}"/>
    <cellStyle name="ปกติ" xfId="0" builtinId="0"/>
    <cellStyle name="ปกติ 2" xfId="18" xr:uid="{00000000-0005-0000-0000-000013000000}"/>
    <cellStyle name="ปกติ 2 2" xfId="1" xr:uid="{00000000-0005-0000-0000-000014000000}"/>
    <cellStyle name="ปกติ 2 2 2" xfId="19" xr:uid="{00000000-0005-0000-0000-000015000000}"/>
    <cellStyle name="ปกติ 2 2 3" xfId="20" xr:uid="{00000000-0005-0000-0000-000016000000}"/>
    <cellStyle name="ปกติ 2 3" xfId="21" xr:uid="{00000000-0005-0000-0000-000017000000}"/>
    <cellStyle name="ปกติ 2 4" xfId="22" xr:uid="{00000000-0005-0000-0000-000018000000}"/>
    <cellStyle name="ปกติ 3" xfId="23" xr:uid="{00000000-0005-0000-0000-000019000000}"/>
    <cellStyle name="ปกติ 4" xfId="24" xr:uid="{00000000-0005-0000-0000-00001A000000}"/>
    <cellStyle name="ปกติ 4 2" xfId="38" xr:uid="{DF149D53-D5F0-46D8-B005-200556D94791}"/>
    <cellStyle name="ปกติ_Sheet1" xfId="2" xr:uid="{00000000-0005-0000-0000-00001B000000}"/>
    <cellStyle name="ปกติ_Sheet1_1" xfId="28" xr:uid="{00000000-0005-0000-0000-00001C000000}"/>
    <cellStyle name="เปอร์เซ็นต์ 2" xfId="25" xr:uid="{00000000-0005-0000-0000-00001D000000}"/>
  </cellStyles>
  <dxfs count="19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48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2.xml"/><Relationship Id="rId6" Type="http://schemas.openxmlformats.org/officeDocument/2006/relationships/image" Target="../media/image410.png"/><Relationship Id="rId5" Type="http://schemas.openxmlformats.org/officeDocument/2006/relationships/customXml" Target="../ink/ink3.xml"/><Relationship Id="rId4" Type="http://schemas.openxmlformats.org/officeDocument/2006/relationships/image" Target="../media/image40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ustomXml" Target="../ink/ink4.xml"/><Relationship Id="rId24" Type="http://schemas.openxmlformats.org/officeDocument/2006/relationships/image" Target="../media/image1.emf"/><Relationship Id="rId23" Type="http://schemas.openxmlformats.org/officeDocument/2006/relationships/customXml" Target="../ink/ink5.xml"/><Relationship Id="rId22" Type="http://schemas.openxmlformats.org/officeDocument/2006/relationships/image" Target="../media/image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8640</xdr:colOff>
      <xdr:row>146</xdr:row>
      <xdr:rowOff>94593</xdr:rowOff>
    </xdr:from>
    <xdr:to>
      <xdr:col>4</xdr:col>
      <xdr:colOff>33480</xdr:colOff>
      <xdr:row>146</xdr:row>
      <xdr:rowOff>126993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48F5BA39-4C5D-417C-A8C6-356E7681D7B5}"/>
                </a:ext>
              </a:extLst>
            </xdr14:cNvPr>
            <xdr14:cNvContentPartPr/>
          </xdr14:nvContentPartPr>
          <xdr14:nvPr macro=""/>
          <xdr14:xfrm>
            <a:off x="3125913" y="25474388"/>
            <a:ext cx="24840" cy="32400"/>
          </xdr14:xfrm>
        </xdr:contentPart>
      </mc:Choice>
      <mc:Fallback xmlns=""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48F5BA39-4C5D-417C-A8C6-356E7681D7B5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3117273" y="25465748"/>
              <a:ext cx="42480" cy="50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415620</xdr:colOff>
      <xdr:row>66</xdr:row>
      <xdr:rowOff>112965</xdr:rowOff>
    </xdr:from>
    <xdr:to>
      <xdr:col>4</xdr:col>
      <xdr:colOff>566460</xdr:colOff>
      <xdr:row>66</xdr:row>
      <xdr:rowOff>139965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1D295643-C090-4538-808A-4B0B68CE3C00}"/>
                </a:ext>
              </a:extLst>
            </xdr14:cNvPr>
            <xdr14:cNvContentPartPr/>
          </xdr14:nvContentPartPr>
          <xdr14:nvPr macro=""/>
          <xdr14:xfrm>
            <a:off x="7749870" y="12057315"/>
            <a:ext cx="150840" cy="270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1D295643-C090-4538-808A-4B0B68CE3C0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50755" y="11867340"/>
              <a:ext cx="168480" cy="44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1057725</xdr:colOff>
      <xdr:row>65</xdr:row>
      <xdr:rowOff>10260</xdr:rowOff>
    </xdr:from>
    <xdr:to>
      <xdr:col>4</xdr:col>
      <xdr:colOff>277740</xdr:colOff>
      <xdr:row>66</xdr:row>
      <xdr:rowOff>28530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FF5F923-A8E0-46FA-B8E1-5C44DC589327}"/>
                </a:ext>
              </a:extLst>
            </xdr14:cNvPr>
            <xdr14:cNvContentPartPr/>
          </xdr14:nvContentPartPr>
          <xdr14:nvPr macro=""/>
          <xdr14:xfrm>
            <a:off x="7277550" y="11773635"/>
            <a:ext cx="334440" cy="18972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FF5F923-A8E0-46FA-B8E1-5C44DC58932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278435" y="11583660"/>
              <a:ext cx="352080" cy="207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309778</xdr:colOff>
      <xdr:row>5</xdr:row>
      <xdr:rowOff>32662</xdr:rowOff>
    </xdr:from>
    <xdr:to>
      <xdr:col>5</xdr:col>
      <xdr:colOff>310138</xdr:colOff>
      <xdr:row>5</xdr:row>
      <xdr:rowOff>33022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6D805C31-6B34-4AFD-BFFB-EBD1493E6B90}"/>
                </a:ext>
              </a:extLst>
            </xdr14:cNvPr>
            <xdr14:cNvContentPartPr/>
          </xdr14:nvContentPartPr>
          <xdr14:nvPr macro=""/>
          <xdr14:xfrm>
            <a:off x="8036762" y="895434"/>
            <a:ext cx="360" cy="36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6D805C31-6B34-4AFD-BFFB-EBD1493E6B90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8027762" y="88679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39539</xdr:colOff>
      <xdr:row>9</xdr:row>
      <xdr:rowOff>47685</xdr:rowOff>
    </xdr:from>
    <xdr:to>
      <xdr:col>3</xdr:col>
      <xdr:colOff>39899</xdr:colOff>
      <xdr:row>9</xdr:row>
      <xdr:rowOff>48045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03EC8066-6923-45FB-AE9C-0F8655745F30}"/>
                </a:ext>
              </a:extLst>
            </xdr14:cNvPr>
            <xdr14:cNvContentPartPr/>
          </xdr14:nvContentPartPr>
          <xdr14:nvPr macro=""/>
          <xdr14:xfrm>
            <a:off x="4715762" y="1600674"/>
            <a:ext cx="360" cy="360"/>
          </xdr14:xfrm>
        </xdr:contentPart>
      </mc:Choice>
      <mc:Fallback xmlns="">
        <xdr:pic>
          <xdr:nvPicPr>
            <xdr:cNvPr id="64" name="Ink 63">
              <a:extLst>
                <a:ext uri="{FF2B5EF4-FFF2-40B4-BE49-F238E27FC236}">
                  <a16:creationId xmlns:a16="http://schemas.microsoft.com/office/drawing/2014/main" id="{03EC8066-6923-45FB-AE9C-0F8655745F30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4706762" y="159167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10:28.41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69 1 5064 0 0,'-4'2'304'0'0,"1"0"-1"0"0,-1 1 1 0 0,1-1 0 0 0,-1 1 0 0 0,1 0 0 0 0,0 0-1 0 0,0 0 1 0 0,0 0 0 0 0,1 0 0 0 0,-1 1 0 0 0,1-1-1 0 0,-1 1 1 0 0,1 1-304 0 0,-15 19 3143 0 0,15-23-3113 0 0,1-1-29 0 0,0 1 0 0 0,1-1-1 0 0,-1 1 1 0 0,1 0-1 0 0,0-1 1 0 0,-1 1-1 0 0,1-1 1 0 0,-1 1-1 0 0,1 0 1 0 0,0-1-1 0 0,0 1 1 0 0,-1 0-1 0 0,1-1 1 0 0,0 1-1 0 0,0 0 1 0 0,0-1-1 0 0,0 1 1 0 0,-1 0-1 0 0,1-1 1 0 0,1 2-1 0 0,-2 4-53 0 0,1-5-59 0 0,0-1-200 0 0,0 0-83 0 0,0 0-18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51:15.99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6912 0 0,'0'0'528'0'0,"0"0"-212"0"0,0 0 374 0 0,0 0 204 0 0,0 0 39 0 0,0 0-54 0 0,0 0-269 0 0,0 0-118 0 0,0 0-20 0 0,0 0-42 0 0,0 0-154 0 0,0 0-70 0 0,0 0-12 0 0,0 0-12 0 0,0 0-38 0 0,0 0-16 0 0,0 0-6 0 0,0 0 14 0 0,0 0 66 0 0,0 0 29 0 0,0 0 8 0 0,0 0 42 0 0,0 0 175 0 0,0 0 78 0 0,2 1 12 0 0,132 29 2646 0 0,74 6-3220 0 0,-134-29-618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51:23.8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1 284 5064 0 0,'0'0'389'0'0,"0"0"75"0"0,0 0 1243 0 0,1-1 575 0 0,3-2-1542 0 0,-1 0-1 0 0,1 1 0 0 0,0-1 1 0 0,1 1-1 0 0,-1-1 0 0 0,0 0 0 0 0,1 2 1 0 0,-1-1-1 0 0,1 1 0 0 0,0-1 1 0 0,4 1-740 0 0,12-3 340 0 0,1 2 1 0 0,2 0-341 0 0,-8 1 263 0 0,12 0-288 0 0,25 2 25 0 0,-2 1-165 0 0,-11 0-208 0 0,1 2 1 0 0,29 8 372 0 0,-21-5-713 0 0,35 2 713 0 0,-53-8-50 0 0,1-2 0 0 0,-1-1 0 0 0,0-1 0 0 0,0-2-1 0 0,0-1 1 0 0,22-9 50 0 0,-25 4-1121 0 0,16-9 1121 0 0,-10 5-4271 0 0,-8 2-739 0 0</inkml:trace>
  <inkml:trace contextRef="#ctx0" brushRef="#br0" timeOffset="421.37">556 22 14368 0 0,'0'0'661'0'0,"-11"-10"238"0"0,8 3-819 0 0,2 6 332 0 0,-1-1 364 0 0,2 2-742 0 0,0 0-1 0 0,0 0 1 0 0,0 0-1 0 0,0 0 1 0 0,0 0-1 0 0,0 0 1 0 0,0-1-1 0 0,0 1 1 0 0,0 0-1 0 0,0 0 1 0 0,-1 0-1 0 0,1 0 1 0 0,0 0-1 0 0,0 0 1 0 0,0 0-1 0 0,0 0 1 0 0,0 0-1 0 0,0-1 1 0 0,0 1-1 0 0,0 0 1 0 0,-1 0-1 0 0,1 0 1 0 0,0 0-1 0 0,0 0 1 0 0,0 0-1 0 0,0 0 1 0 0,0 0-1 0 0,0 0 1 0 0,0 0-1 0 0,-1 0 1 0 0,1 0-1 0 0,0 0 1 0 0,0 0-1 0 0,0 0 1 0 0,0 0-1 0 0,0 0 1 0 0,0 0-1 0 0,-1 0 1 0 0,1 0-1 0 0,0 0 1 0 0,0 0-1 0 0,0 0 1 0 0,0 1-34 0 0,-1-1 24 0 0,0 1 1 0 0,0 0 0 0 0,1-1 0 0 0,-1 1-1 0 0,0 0 1 0 0,1 0 0 0 0,-1-1-1 0 0,0 1 1 0 0,1 0 0 0 0,-1 0 0 0 0,1 0-1 0 0,0 1 1 0 0,-1-1 0 0 0,1 0-1 0 0,0 0 1 0 0,-1 0 0 0 0,1 0-1 0 0,0 0 1 0 0,0 0 0 0 0,0 1-25 0 0,-2 33-145 0 0,1-13 73 0 0,-68 410-2962 0 0,61-390-2710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9T06:16:00.4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3224 0 0,'0'0'288'0'0,"0"0"-288"0"0,0 0 0 0 0,0 0 0 0 0,0 0 344 0 0,0 0 8 0 0,0 0 8 0 0,0 0 0 0 0,0 0-176 0 0,0 0-40 0 0,0 0-8 0 0,0 0 0 0 0,0 0-136 0 0,0 0 0 0 0,0 0-64 0 0,0 0-2136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9T06:17:19.98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1537 3224 0 0,'0'0'288'0'0,"0"0"-288"0"0,0 0 0 0 0,0 0 0 0 0,0 0 280 0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68"/>
  <sheetViews>
    <sheetView zoomScale="130" zoomScaleNormal="130" workbookViewId="0">
      <pane xSplit="4" ySplit="1" topLeftCell="E2" activePane="bottomRight" state="frozen"/>
      <selection activeCell="D134" sqref="D134"/>
      <selection pane="topRight" activeCell="D134" sqref="D134"/>
      <selection pane="bottomLeft" activeCell="D134" sqref="D134"/>
      <selection pane="bottomRight" activeCell="D170" sqref="D170"/>
    </sheetView>
  </sheetViews>
  <sheetFormatPr defaultColWidth="9" defaultRowHeight="14.25" x14ac:dyDescent="0.2"/>
  <cols>
    <col min="1" max="1" width="5.125" style="2" customWidth="1"/>
    <col min="2" max="2" width="3.625" style="2" customWidth="1"/>
    <col min="3" max="3" width="2.125" style="2" customWidth="1"/>
    <col min="4" max="4" width="29.625" style="2" customWidth="1"/>
    <col min="5" max="6" width="18.375" style="212" customWidth="1"/>
    <col min="7" max="7" width="7.625" style="2" customWidth="1"/>
    <col min="8" max="8" width="14.125" style="357" customWidth="1"/>
    <col min="9" max="16384" width="9" style="2"/>
  </cols>
  <sheetData>
    <row r="1" spans="1:8" x14ac:dyDescent="0.2">
      <c r="A1" s="3" t="s">
        <v>0</v>
      </c>
      <c r="B1" s="490" t="s">
        <v>1</v>
      </c>
      <c r="C1" s="490"/>
      <c r="D1" s="490"/>
      <c r="E1" s="4" t="s">
        <v>1611</v>
      </c>
      <c r="F1" s="4" t="s">
        <v>1612</v>
      </c>
      <c r="G1" s="5" t="s">
        <v>2</v>
      </c>
      <c r="H1" s="356" t="s">
        <v>1158</v>
      </c>
    </row>
    <row r="2" spans="1:8" ht="18" x14ac:dyDescent="0.2">
      <c r="A2" s="296" t="s">
        <v>83</v>
      </c>
      <c r="B2" s="297"/>
      <c r="C2" s="297"/>
      <c r="D2" s="297"/>
      <c r="E2" s="297"/>
      <c r="F2" s="297"/>
      <c r="G2" s="297"/>
    </row>
    <row r="3" spans="1:8" x14ac:dyDescent="0.2">
      <c r="A3" s="135">
        <v>1</v>
      </c>
      <c r="B3" s="136" t="s">
        <v>3</v>
      </c>
      <c r="C3" s="136"/>
      <c r="D3" s="136"/>
      <c r="E3" s="137">
        <f>SUM(E4,E14:E15)</f>
        <v>0</v>
      </c>
      <c r="F3" s="137">
        <f>SUM(F4,F14:F15)</f>
        <v>0</v>
      </c>
      <c r="G3" s="174" t="e">
        <f>(F3-E3)/E3*100</f>
        <v>#DIV/0!</v>
      </c>
    </row>
    <row r="4" spans="1:8" x14ac:dyDescent="0.2">
      <c r="A4" s="175"/>
      <c r="B4" s="176" t="s">
        <v>158</v>
      </c>
      <c r="C4" s="88"/>
      <c r="D4" s="177"/>
      <c r="E4" s="178">
        <f>SUM(E5:E13)</f>
        <v>0</v>
      </c>
      <c r="F4" s="178">
        <f>SUM(F5:F13)</f>
        <v>0</v>
      </c>
      <c r="G4" s="179" t="e">
        <f t="shared" ref="G4:G67" si="0">(F4-E4)/E4*100</f>
        <v>#DIV/0!</v>
      </c>
    </row>
    <row r="5" spans="1:8" x14ac:dyDescent="0.2">
      <c r="A5" s="10"/>
      <c r="B5" s="10"/>
      <c r="C5" s="11" t="s">
        <v>52</v>
      </c>
      <c r="D5" s="7"/>
      <c r="E5" s="204"/>
      <c r="F5" s="204"/>
      <c r="G5" s="12" t="e">
        <f t="shared" si="0"/>
        <v>#DIV/0!</v>
      </c>
      <c r="H5" s="491" t="s">
        <v>1101</v>
      </c>
    </row>
    <row r="6" spans="1:8" x14ac:dyDescent="0.2">
      <c r="A6" s="10"/>
      <c r="B6" s="10"/>
      <c r="C6" s="11" t="s">
        <v>53</v>
      </c>
      <c r="D6" s="7"/>
      <c r="E6" s="204"/>
      <c r="F6" s="204"/>
      <c r="G6" s="12" t="e">
        <f t="shared" si="0"/>
        <v>#DIV/0!</v>
      </c>
      <c r="H6" s="491"/>
    </row>
    <row r="7" spans="1:8" x14ac:dyDescent="0.2">
      <c r="A7" s="10"/>
      <c r="B7" s="10"/>
      <c r="C7" s="11" t="s">
        <v>54</v>
      </c>
      <c r="D7" s="7"/>
      <c r="E7" s="204"/>
      <c r="F7" s="204"/>
      <c r="G7" s="12" t="e">
        <f t="shared" si="0"/>
        <v>#DIV/0!</v>
      </c>
      <c r="H7" s="491"/>
    </row>
    <row r="8" spans="1:8" x14ac:dyDescent="0.2">
      <c r="A8" s="10"/>
      <c r="B8" s="10"/>
      <c r="C8" s="11" t="s">
        <v>55</v>
      </c>
      <c r="D8" s="7"/>
      <c r="E8" s="204"/>
      <c r="F8" s="204"/>
      <c r="G8" s="12" t="e">
        <f t="shared" si="0"/>
        <v>#DIV/0!</v>
      </c>
      <c r="H8" s="491"/>
    </row>
    <row r="9" spans="1:8" x14ac:dyDescent="0.2">
      <c r="A9" s="10"/>
      <c r="B9" s="10"/>
      <c r="C9" s="11" t="s">
        <v>56</v>
      </c>
      <c r="D9" s="7"/>
      <c r="E9" s="392"/>
      <c r="F9" s="204"/>
      <c r="G9" s="12" t="e">
        <f t="shared" si="0"/>
        <v>#DIV/0!</v>
      </c>
      <c r="H9" s="491"/>
    </row>
    <row r="10" spans="1:8" x14ac:dyDescent="0.2">
      <c r="A10" s="10"/>
      <c r="B10" s="10"/>
      <c r="C10" s="11" t="s">
        <v>1159</v>
      </c>
      <c r="D10" s="7"/>
      <c r="E10" s="204"/>
      <c r="F10" s="204"/>
      <c r="G10" s="12" t="e">
        <f t="shared" si="0"/>
        <v>#DIV/0!</v>
      </c>
    </row>
    <row r="11" spans="1:8" x14ac:dyDescent="0.2">
      <c r="A11" s="10"/>
      <c r="B11" s="10"/>
      <c r="C11" s="11" t="s">
        <v>1160</v>
      </c>
      <c r="D11" s="13"/>
      <c r="E11" s="204"/>
      <c r="F11" s="204"/>
      <c r="G11" s="12" t="e">
        <f t="shared" si="0"/>
        <v>#DIV/0!</v>
      </c>
      <c r="H11" s="491" t="s">
        <v>1102</v>
      </c>
    </row>
    <row r="12" spans="1:8" x14ac:dyDescent="0.2">
      <c r="A12" s="10"/>
      <c r="B12" s="10"/>
      <c r="C12" s="11" t="s">
        <v>1161</v>
      </c>
      <c r="D12" s="13"/>
      <c r="E12" s="392"/>
      <c r="F12" s="204"/>
      <c r="G12" s="12" t="e">
        <f t="shared" si="0"/>
        <v>#DIV/0!</v>
      </c>
      <c r="H12" s="492"/>
    </row>
    <row r="13" spans="1:8" x14ac:dyDescent="0.2">
      <c r="A13" s="10"/>
      <c r="B13" s="10"/>
      <c r="C13" s="11" t="s">
        <v>57</v>
      </c>
      <c r="D13" s="13"/>
      <c r="E13" s="204"/>
      <c r="F13" s="204"/>
      <c r="G13" s="12" t="e">
        <f t="shared" si="0"/>
        <v>#DIV/0!</v>
      </c>
      <c r="H13" s="492"/>
    </row>
    <row r="14" spans="1:8" x14ac:dyDescent="0.2">
      <c r="A14" s="91"/>
      <c r="B14" s="87" t="s">
        <v>159</v>
      </c>
      <c r="C14" s="87"/>
      <c r="D14" s="89"/>
      <c r="E14" s="90"/>
      <c r="F14" s="90"/>
      <c r="G14" s="30" t="e">
        <f t="shared" si="0"/>
        <v>#DIV/0!</v>
      </c>
      <c r="H14" s="356" t="s">
        <v>1157</v>
      </c>
    </row>
    <row r="15" spans="1:8" x14ac:dyDescent="0.2">
      <c r="A15" s="91"/>
      <c r="B15" s="87" t="s">
        <v>1156</v>
      </c>
      <c r="C15" s="87"/>
      <c r="D15" s="89"/>
      <c r="E15" s="90"/>
      <c r="F15" s="90"/>
      <c r="G15" s="30" t="e">
        <f t="shared" si="0"/>
        <v>#DIV/0!</v>
      </c>
      <c r="H15" s="356" t="s">
        <v>1103</v>
      </c>
    </row>
    <row r="16" spans="1:8" x14ac:dyDescent="0.2">
      <c r="A16" s="135">
        <v>2</v>
      </c>
      <c r="B16" s="136" t="s">
        <v>160</v>
      </c>
      <c r="C16" s="136"/>
      <c r="D16" s="136"/>
      <c r="E16" s="205">
        <f>SUM(E17,E20,E22,E29,E37,E40,E48,E52)</f>
        <v>0</v>
      </c>
      <c r="F16" s="205">
        <f>SUM(F17,F20,F22,F29,F37,F40,F48,F52)</f>
        <v>0</v>
      </c>
      <c r="G16" s="174" t="e">
        <f t="shared" si="0"/>
        <v>#DIV/0!</v>
      </c>
    </row>
    <row r="17" spans="1:9" s="18" customFormat="1" x14ac:dyDescent="0.2">
      <c r="A17" s="175"/>
      <c r="B17" s="176" t="s">
        <v>6</v>
      </c>
      <c r="C17" s="88"/>
      <c r="D17" s="177"/>
      <c r="E17" s="178">
        <f>SUM(E18:E19)</f>
        <v>0</v>
      </c>
      <c r="F17" s="178">
        <f>SUM(F18:F19)</f>
        <v>0</v>
      </c>
      <c r="G17" s="179" t="e">
        <f t="shared" si="0"/>
        <v>#DIV/0!</v>
      </c>
      <c r="H17" s="357"/>
    </row>
    <row r="18" spans="1:9" s="18" customFormat="1" x14ac:dyDescent="0.2">
      <c r="A18" s="14"/>
      <c r="B18" s="11"/>
      <c r="C18" s="1" t="s">
        <v>51</v>
      </c>
      <c r="D18" s="11" t="s">
        <v>50</v>
      </c>
      <c r="E18" s="206"/>
      <c r="F18" s="206"/>
      <c r="G18" s="16" t="e">
        <f t="shared" si="0"/>
        <v>#DIV/0!</v>
      </c>
      <c r="H18" s="356" t="s">
        <v>1104</v>
      </c>
    </row>
    <row r="19" spans="1:9" s="18" customFormat="1" x14ac:dyDescent="0.2">
      <c r="A19" s="14"/>
      <c r="B19" s="11"/>
      <c r="C19" s="1" t="s">
        <v>51</v>
      </c>
      <c r="D19" s="11" t="s">
        <v>1126</v>
      </c>
      <c r="E19" s="206"/>
      <c r="F19" s="218"/>
      <c r="G19" s="16" t="e">
        <f t="shared" si="0"/>
        <v>#DIV/0!</v>
      </c>
      <c r="H19" s="356" t="s">
        <v>1105</v>
      </c>
    </row>
    <row r="20" spans="1:9" s="18" customFormat="1" x14ac:dyDescent="0.2">
      <c r="A20" s="175"/>
      <c r="B20" s="176" t="s">
        <v>7</v>
      </c>
      <c r="C20" s="88"/>
      <c r="D20" s="177"/>
      <c r="E20" s="178">
        <f>SUM(E21:E21)</f>
        <v>0</v>
      </c>
      <c r="F20" s="178">
        <f>SUM(F21:F21)</f>
        <v>0</v>
      </c>
      <c r="G20" s="179" t="e">
        <f t="shared" si="0"/>
        <v>#DIV/0!</v>
      </c>
      <c r="H20" s="357"/>
    </row>
    <row r="21" spans="1:9" s="18" customFormat="1" x14ac:dyDescent="0.2">
      <c r="A21" s="14"/>
      <c r="B21" s="11"/>
      <c r="C21" s="1" t="s">
        <v>51</v>
      </c>
      <c r="D21" s="11" t="s">
        <v>63</v>
      </c>
      <c r="E21" s="206"/>
      <c r="F21" s="206"/>
      <c r="G21" s="16" t="e">
        <f t="shared" si="0"/>
        <v>#DIV/0!</v>
      </c>
      <c r="H21" s="356" t="s">
        <v>1106</v>
      </c>
    </row>
    <row r="22" spans="1:9" s="18" customFormat="1" x14ac:dyDescent="0.2">
      <c r="A22" s="175"/>
      <c r="B22" s="176" t="s">
        <v>8</v>
      </c>
      <c r="C22" s="88"/>
      <c r="D22" s="177"/>
      <c r="E22" s="178">
        <f>SUM(E23:E28)</f>
        <v>0</v>
      </c>
      <c r="F22" s="178">
        <f>SUM(F23:F28)</f>
        <v>0</v>
      </c>
      <c r="G22" s="179" t="e">
        <f t="shared" si="0"/>
        <v>#DIV/0!</v>
      </c>
      <c r="H22" s="357"/>
    </row>
    <row r="23" spans="1:9" s="18" customFormat="1" x14ac:dyDescent="0.2">
      <c r="A23" s="139"/>
      <c r="B23" s="140"/>
      <c r="C23" s="140" t="s">
        <v>761</v>
      </c>
      <c r="D23" s="17"/>
      <c r="E23" s="206"/>
      <c r="F23" s="218"/>
      <c r="G23" s="180" t="e">
        <f t="shared" si="0"/>
        <v>#DIV/0!</v>
      </c>
      <c r="H23" s="356" t="s">
        <v>1107</v>
      </c>
    </row>
    <row r="24" spans="1:9" s="18" customFormat="1" x14ac:dyDescent="0.2">
      <c r="A24" s="14"/>
      <c r="B24" s="11"/>
      <c r="C24" s="140" t="s">
        <v>762</v>
      </c>
      <c r="D24" s="17"/>
      <c r="E24" s="206"/>
      <c r="F24" s="206"/>
      <c r="G24" s="16" t="e">
        <f t="shared" si="0"/>
        <v>#DIV/0!</v>
      </c>
      <c r="H24" s="356" t="s">
        <v>1107</v>
      </c>
    </row>
    <row r="25" spans="1:9" s="18" customFormat="1" x14ac:dyDescent="0.2">
      <c r="A25" s="14"/>
      <c r="B25" s="11"/>
      <c r="C25" s="140" t="s">
        <v>1110</v>
      </c>
      <c r="D25" s="355"/>
      <c r="E25" s="206"/>
      <c r="F25" s="218"/>
      <c r="G25" s="16" t="e">
        <f t="shared" si="0"/>
        <v>#DIV/0!</v>
      </c>
      <c r="H25" s="356" t="s">
        <v>1108</v>
      </c>
      <c r="I25" s="354" t="s">
        <v>1111</v>
      </c>
    </row>
    <row r="26" spans="1:9" s="18" customFormat="1" x14ac:dyDescent="0.2">
      <c r="A26" s="14"/>
      <c r="B26" s="11"/>
      <c r="C26" s="140" t="s">
        <v>1124</v>
      </c>
      <c r="D26" s="355"/>
      <c r="E26" s="206"/>
      <c r="F26" s="206"/>
      <c r="G26" s="16" t="e">
        <f t="shared" si="0"/>
        <v>#DIV/0!</v>
      </c>
      <c r="H26" s="356" t="s">
        <v>1108</v>
      </c>
      <c r="I26" s="354"/>
    </row>
    <row r="27" spans="1:9" s="18" customFormat="1" x14ac:dyDescent="0.2">
      <c r="A27" s="14"/>
      <c r="B27" s="11"/>
      <c r="C27" s="140" t="s">
        <v>1127</v>
      </c>
      <c r="D27" s="255"/>
      <c r="E27" s="206"/>
      <c r="F27" s="218"/>
      <c r="G27" s="16" t="e">
        <f t="shared" si="0"/>
        <v>#DIV/0!</v>
      </c>
      <c r="H27" s="356" t="s">
        <v>1112</v>
      </c>
    </row>
    <row r="28" spans="1:9" s="18" customFormat="1" x14ac:dyDescent="0.2">
      <c r="A28" s="14"/>
      <c r="B28" s="11"/>
      <c r="C28" s="11" t="s">
        <v>154</v>
      </c>
      <c r="D28" s="17"/>
      <c r="E28" s="206"/>
      <c r="F28" s="206"/>
      <c r="G28" s="16" t="e">
        <f t="shared" si="0"/>
        <v>#DIV/0!</v>
      </c>
      <c r="H28" s="356" t="s">
        <v>1109</v>
      </c>
    </row>
    <row r="29" spans="1:9" s="18" customFormat="1" x14ac:dyDescent="0.2">
      <c r="A29" s="175"/>
      <c r="B29" s="222">
        <v>2.4</v>
      </c>
      <c r="C29" s="88" t="s">
        <v>64</v>
      </c>
      <c r="D29" s="177"/>
      <c r="E29" s="178">
        <f>SUM(E30,E31,E32)</f>
        <v>0</v>
      </c>
      <c r="F29" s="178">
        <f>SUM(F30,F31,F32)</f>
        <v>0</v>
      </c>
      <c r="G29" s="179" t="e">
        <f t="shared" si="0"/>
        <v>#DIV/0!</v>
      </c>
      <c r="H29" s="357"/>
    </row>
    <row r="30" spans="1:9" s="18" customFormat="1" x14ac:dyDescent="0.2">
      <c r="A30" s="139"/>
      <c r="B30" s="140"/>
      <c r="C30" s="140" t="s">
        <v>1113</v>
      </c>
      <c r="D30" s="140"/>
      <c r="E30" s="223"/>
      <c r="F30" s="223"/>
      <c r="G30" s="180" t="e">
        <f t="shared" si="0"/>
        <v>#DIV/0!</v>
      </c>
      <c r="H30" s="356" t="s">
        <v>1115</v>
      </c>
    </row>
    <row r="31" spans="1:9" s="18" customFormat="1" x14ac:dyDescent="0.2">
      <c r="A31" s="139"/>
      <c r="B31" s="140"/>
      <c r="C31" s="140" t="s">
        <v>1114</v>
      </c>
      <c r="D31" s="140"/>
      <c r="E31" s="223"/>
      <c r="F31" s="223"/>
      <c r="G31" s="180" t="e">
        <f t="shared" si="0"/>
        <v>#DIV/0!</v>
      </c>
      <c r="H31" s="356" t="s">
        <v>1116</v>
      </c>
    </row>
    <row r="32" spans="1:9" s="18" customFormat="1" x14ac:dyDescent="0.2">
      <c r="A32" s="139"/>
      <c r="B32" s="140"/>
      <c r="C32" s="140" t="s">
        <v>1118</v>
      </c>
      <c r="D32" s="140"/>
      <c r="E32" s="207">
        <f>SUM(E33:E36)</f>
        <v>0</v>
      </c>
      <c r="F32" s="207">
        <f>SUM(F33:F36)</f>
        <v>0</v>
      </c>
      <c r="G32" s="180" t="e">
        <f t="shared" si="0"/>
        <v>#DIV/0!</v>
      </c>
      <c r="H32" s="356" t="s">
        <v>1117</v>
      </c>
    </row>
    <row r="33" spans="1:9" s="18" customFormat="1" x14ac:dyDescent="0.2">
      <c r="A33" s="14"/>
      <c r="B33" s="11"/>
      <c r="C33" s="11"/>
      <c r="D33" s="11" t="s">
        <v>1119</v>
      </c>
      <c r="E33" s="206"/>
      <c r="F33" s="206"/>
      <c r="G33" s="16" t="e">
        <f t="shared" si="0"/>
        <v>#DIV/0!</v>
      </c>
      <c r="H33" s="356" t="s">
        <v>1117</v>
      </c>
    </row>
    <row r="34" spans="1:9" s="18" customFormat="1" x14ac:dyDescent="0.2">
      <c r="A34" s="14"/>
      <c r="B34" s="11"/>
      <c r="C34" s="11"/>
      <c r="D34" s="11" t="s">
        <v>9</v>
      </c>
      <c r="E34" s="206"/>
      <c r="F34" s="206"/>
      <c r="G34" s="16" t="e">
        <f t="shared" si="0"/>
        <v>#DIV/0!</v>
      </c>
      <c r="H34" s="356" t="s">
        <v>1117</v>
      </c>
    </row>
    <row r="35" spans="1:9" s="18" customFormat="1" x14ac:dyDescent="0.2">
      <c r="A35" s="14"/>
      <c r="B35" s="11"/>
      <c r="C35" s="11"/>
      <c r="D35" s="11" t="s">
        <v>1120</v>
      </c>
      <c r="E35" s="206"/>
      <c r="F35" s="206"/>
      <c r="G35" s="16" t="e">
        <f t="shared" si="0"/>
        <v>#DIV/0!</v>
      </c>
      <c r="H35" s="356" t="s">
        <v>1117</v>
      </c>
    </row>
    <row r="36" spans="1:9" s="18" customFormat="1" x14ac:dyDescent="0.2">
      <c r="A36" s="14"/>
      <c r="B36" s="11"/>
      <c r="C36" s="11"/>
      <c r="D36" s="11" t="s">
        <v>1121</v>
      </c>
      <c r="E36" s="206"/>
      <c r="F36" s="206"/>
      <c r="G36" s="16" t="e">
        <f t="shared" si="0"/>
        <v>#DIV/0!</v>
      </c>
      <c r="H36" s="356" t="s">
        <v>1117</v>
      </c>
    </row>
    <row r="37" spans="1:9" s="18" customFormat="1" x14ac:dyDescent="0.2">
      <c r="A37" s="175"/>
      <c r="B37" s="176" t="s">
        <v>155</v>
      </c>
      <c r="C37" s="88"/>
      <c r="D37" s="177"/>
      <c r="E37" s="178">
        <f>SUM(E38:E39)</f>
        <v>0</v>
      </c>
      <c r="F37" s="178">
        <f>SUM(F38:F39)</f>
        <v>0</v>
      </c>
      <c r="G37" s="179" t="e">
        <f t="shared" si="0"/>
        <v>#DIV/0!</v>
      </c>
      <c r="H37" s="356" t="s">
        <v>1122</v>
      </c>
    </row>
    <row r="38" spans="1:9" s="18" customFormat="1" x14ac:dyDescent="0.2">
      <c r="A38" s="14"/>
      <c r="B38" s="11"/>
      <c r="C38" s="11" t="s">
        <v>1265</v>
      </c>
      <c r="D38" s="11"/>
      <c r="E38" s="206"/>
      <c r="F38" s="206"/>
      <c r="G38" s="16" t="e">
        <f t="shared" si="0"/>
        <v>#DIV/0!</v>
      </c>
      <c r="H38" s="356" t="s">
        <v>1122</v>
      </c>
    </row>
    <row r="39" spans="1:9" s="18" customFormat="1" x14ac:dyDescent="0.2">
      <c r="A39" s="14"/>
      <c r="B39" s="11"/>
      <c r="C39" s="11" t="s">
        <v>1264</v>
      </c>
      <c r="D39" s="11"/>
      <c r="E39" s="206"/>
      <c r="F39" s="206"/>
      <c r="G39" s="16" t="e">
        <f t="shared" si="0"/>
        <v>#DIV/0!</v>
      </c>
      <c r="H39" s="356" t="s">
        <v>1122</v>
      </c>
    </row>
    <row r="40" spans="1:9" s="18" customFormat="1" x14ac:dyDescent="0.2">
      <c r="A40" s="175"/>
      <c r="B40" s="176" t="s">
        <v>1123</v>
      </c>
      <c r="C40" s="88"/>
      <c r="D40" s="177"/>
      <c r="E40" s="178">
        <f>SUM(E41:E47)</f>
        <v>0</v>
      </c>
      <c r="F40" s="178">
        <f>SUM(F41:F47)</f>
        <v>0</v>
      </c>
      <c r="G40" s="179" t="e">
        <f t="shared" si="0"/>
        <v>#DIV/0!</v>
      </c>
      <c r="H40" s="356" t="s">
        <v>1125</v>
      </c>
    </row>
    <row r="41" spans="1:9" s="18" customFormat="1" x14ac:dyDescent="0.2">
      <c r="A41" s="14"/>
      <c r="B41" s="11"/>
      <c r="C41" s="11" t="s">
        <v>1242</v>
      </c>
      <c r="D41" s="11"/>
      <c r="E41" s="206"/>
      <c r="F41" s="218"/>
      <c r="G41" s="16" t="e">
        <f t="shared" si="0"/>
        <v>#DIV/0!</v>
      </c>
      <c r="H41" s="356" t="s">
        <v>1125</v>
      </c>
      <c r="I41" s="354" t="s">
        <v>1239</v>
      </c>
    </row>
    <row r="42" spans="1:9" s="18" customFormat="1" x14ac:dyDescent="0.2">
      <c r="A42" s="14"/>
      <c r="B42" s="11"/>
      <c r="C42" s="11" t="s">
        <v>1243</v>
      </c>
      <c r="D42" s="11"/>
      <c r="E42" s="206"/>
      <c r="F42" s="218"/>
      <c r="G42" s="16" t="e">
        <f t="shared" si="0"/>
        <v>#DIV/0!</v>
      </c>
      <c r="H42" s="356" t="s">
        <v>1125</v>
      </c>
    </row>
    <row r="43" spans="1:9" s="18" customFormat="1" x14ac:dyDescent="0.2">
      <c r="A43" s="14"/>
      <c r="B43" s="11"/>
      <c r="C43" s="11" t="s">
        <v>1244</v>
      </c>
      <c r="D43" s="11"/>
      <c r="E43" s="206"/>
      <c r="F43" s="218"/>
      <c r="G43" s="16" t="e">
        <f t="shared" si="0"/>
        <v>#DIV/0!</v>
      </c>
      <c r="H43" s="356" t="s">
        <v>1125</v>
      </c>
    </row>
    <row r="44" spans="1:9" s="18" customFormat="1" x14ac:dyDescent="0.2">
      <c r="A44" s="14"/>
      <c r="B44" s="17"/>
      <c r="C44" s="11" t="s">
        <v>1245</v>
      </c>
      <c r="D44" s="11"/>
      <c r="E44" s="206"/>
      <c r="F44" s="218"/>
      <c r="G44" s="16" t="e">
        <f t="shared" si="0"/>
        <v>#DIV/0!</v>
      </c>
      <c r="H44" s="356" t="s">
        <v>1125</v>
      </c>
    </row>
    <row r="45" spans="1:9" s="18" customFormat="1" x14ac:dyDescent="0.2">
      <c r="A45" s="14"/>
      <c r="B45" s="17"/>
      <c r="C45" s="11" t="s">
        <v>1246</v>
      </c>
      <c r="D45" s="11"/>
      <c r="E45" s="206"/>
      <c r="F45" s="218"/>
      <c r="G45" s="16" t="e">
        <f t="shared" si="0"/>
        <v>#DIV/0!</v>
      </c>
      <c r="H45" s="356" t="s">
        <v>1125</v>
      </c>
      <c r="I45" s="354" t="s">
        <v>1240</v>
      </c>
    </row>
    <row r="46" spans="1:9" s="18" customFormat="1" x14ac:dyDescent="0.2">
      <c r="A46" s="14"/>
      <c r="B46" s="11"/>
      <c r="C46" s="11" t="s">
        <v>1247</v>
      </c>
      <c r="D46" s="11"/>
      <c r="E46" s="206"/>
      <c r="F46" s="206"/>
      <c r="G46" s="16" t="e">
        <f t="shared" si="0"/>
        <v>#DIV/0!</v>
      </c>
      <c r="H46" s="356" t="s">
        <v>1125</v>
      </c>
      <c r="I46" s="354" t="s">
        <v>1240</v>
      </c>
    </row>
    <row r="47" spans="1:9" s="18" customFormat="1" x14ac:dyDescent="0.2">
      <c r="A47" s="14"/>
      <c r="B47" s="17"/>
      <c r="C47" s="11" t="s">
        <v>1248</v>
      </c>
      <c r="D47" s="11"/>
      <c r="E47" s="206"/>
      <c r="F47" s="206"/>
      <c r="G47" s="16" t="e">
        <f t="shared" si="0"/>
        <v>#DIV/0!</v>
      </c>
      <c r="H47" s="356" t="s">
        <v>1125</v>
      </c>
      <c r="I47" s="354" t="s">
        <v>1240</v>
      </c>
    </row>
    <row r="48" spans="1:9" s="18" customFormat="1" x14ac:dyDescent="0.2">
      <c r="A48" s="175"/>
      <c r="B48" s="176" t="s">
        <v>1129</v>
      </c>
      <c r="C48" s="88"/>
      <c r="D48" s="177"/>
      <c r="E48" s="178">
        <f>SUM(E49:E51)</f>
        <v>0</v>
      </c>
      <c r="F48" s="178">
        <f>SUM(F49:F51)</f>
        <v>0</v>
      </c>
      <c r="G48" s="179" t="e">
        <f t="shared" si="0"/>
        <v>#DIV/0!</v>
      </c>
      <c r="H48" s="356" t="s">
        <v>1128</v>
      </c>
    </row>
    <row r="49" spans="1:8" s="18" customFormat="1" x14ac:dyDescent="0.2">
      <c r="A49" s="14"/>
      <c r="B49" s="11"/>
      <c r="C49" s="11" t="s">
        <v>1249</v>
      </c>
      <c r="D49" s="11"/>
      <c r="E49" s="206"/>
      <c r="F49" s="206"/>
      <c r="G49" s="16" t="e">
        <f t="shared" si="0"/>
        <v>#DIV/0!</v>
      </c>
      <c r="H49" s="356" t="s">
        <v>1128</v>
      </c>
    </row>
    <row r="50" spans="1:8" s="18" customFormat="1" x14ac:dyDescent="0.2">
      <c r="A50" s="14"/>
      <c r="B50" s="11"/>
      <c r="C50" s="11" t="s">
        <v>1250</v>
      </c>
      <c r="D50" s="11"/>
      <c r="E50" s="206"/>
      <c r="F50" s="206"/>
      <c r="G50" s="16" t="e">
        <f t="shared" si="0"/>
        <v>#DIV/0!</v>
      </c>
      <c r="H50" s="356" t="s">
        <v>1128</v>
      </c>
    </row>
    <row r="51" spans="1:8" s="18" customFormat="1" x14ac:dyDescent="0.2">
      <c r="A51" s="14"/>
      <c r="B51" s="11"/>
      <c r="C51" s="11" t="s">
        <v>1251</v>
      </c>
      <c r="D51" s="11"/>
      <c r="E51" s="206"/>
      <c r="F51" s="206"/>
      <c r="G51" s="16" t="e">
        <f t="shared" si="0"/>
        <v>#DIV/0!</v>
      </c>
      <c r="H51" s="356" t="s">
        <v>1128</v>
      </c>
    </row>
    <row r="52" spans="1:8" s="18" customFormat="1" x14ac:dyDescent="0.2">
      <c r="A52" s="175"/>
      <c r="B52" s="176" t="s">
        <v>1130</v>
      </c>
      <c r="C52" s="88"/>
      <c r="D52" s="177"/>
      <c r="E52" s="178">
        <f>SUM(E53:E55)</f>
        <v>0</v>
      </c>
      <c r="F52" s="178">
        <f>SUM(F53:F55)</f>
        <v>0</v>
      </c>
      <c r="G52" s="179" t="e">
        <f t="shared" si="0"/>
        <v>#DIV/0!</v>
      </c>
      <c r="H52" s="356"/>
    </row>
    <row r="53" spans="1:8" s="18" customFormat="1" x14ac:dyDescent="0.2">
      <c r="A53" s="14"/>
      <c r="B53" s="11"/>
      <c r="C53" s="11" t="s">
        <v>1252</v>
      </c>
      <c r="D53" s="11"/>
      <c r="E53" s="206"/>
      <c r="F53" s="206"/>
      <c r="G53" s="16" t="e">
        <f t="shared" si="0"/>
        <v>#DIV/0!</v>
      </c>
      <c r="H53" s="356" t="s">
        <v>1131</v>
      </c>
    </row>
    <row r="54" spans="1:8" s="18" customFormat="1" x14ac:dyDescent="0.2">
      <c r="A54" s="14"/>
      <c r="B54" s="11"/>
      <c r="C54" s="11" t="s">
        <v>1253</v>
      </c>
      <c r="D54" s="11"/>
      <c r="E54" s="206"/>
      <c r="F54" s="206"/>
      <c r="G54" s="16" t="e">
        <f t="shared" si="0"/>
        <v>#DIV/0!</v>
      </c>
      <c r="H54" s="356" t="s">
        <v>1132</v>
      </c>
    </row>
    <row r="55" spans="1:8" s="18" customFormat="1" x14ac:dyDescent="0.2">
      <c r="A55" s="14"/>
      <c r="B55" s="11"/>
      <c r="C55" s="11" t="s">
        <v>1254</v>
      </c>
      <c r="D55" s="11"/>
      <c r="E55" s="206"/>
      <c r="F55" s="206"/>
      <c r="G55" s="16" t="e">
        <f t="shared" si="0"/>
        <v>#DIV/0!</v>
      </c>
      <c r="H55" s="356" t="s">
        <v>1133</v>
      </c>
    </row>
    <row r="56" spans="1:8" x14ac:dyDescent="0.2">
      <c r="A56" s="8">
        <v>3</v>
      </c>
      <c r="B56" s="19" t="s">
        <v>10</v>
      </c>
      <c r="C56" s="20"/>
      <c r="D56" s="20"/>
      <c r="E56" s="209">
        <f>SUM(E57)</f>
        <v>0</v>
      </c>
      <c r="F56" s="209">
        <f>SUM(F57)</f>
        <v>0</v>
      </c>
      <c r="G56" s="9" t="e">
        <f t="shared" si="0"/>
        <v>#DIV/0!</v>
      </c>
      <c r="H56" s="356" t="s">
        <v>1134</v>
      </c>
    </row>
    <row r="57" spans="1:8" x14ac:dyDescent="0.2">
      <c r="A57" s="10"/>
      <c r="B57" s="21"/>
      <c r="C57" s="22" t="s">
        <v>10</v>
      </c>
      <c r="D57" s="22"/>
      <c r="E57" s="390"/>
      <c r="F57" s="224"/>
      <c r="G57" s="12" t="e">
        <f t="shared" si="0"/>
        <v>#DIV/0!</v>
      </c>
      <c r="H57" s="356" t="s">
        <v>1134</v>
      </c>
    </row>
    <row r="58" spans="1:8" x14ac:dyDescent="0.2">
      <c r="A58" s="135">
        <v>4</v>
      </c>
      <c r="B58" s="141" t="s">
        <v>67</v>
      </c>
      <c r="C58" s="144"/>
      <c r="D58" s="144"/>
      <c r="E58" s="210">
        <f>SUM(E59,E68,E71,E74,E77,E80,E62,E65)</f>
        <v>0</v>
      </c>
      <c r="F58" s="210">
        <f>SUM(F59,F68,F71,F74,F77,F80,F62,F65)</f>
        <v>0</v>
      </c>
      <c r="G58" s="174" t="e">
        <f t="shared" si="0"/>
        <v>#DIV/0!</v>
      </c>
    </row>
    <row r="59" spans="1:8" x14ac:dyDescent="0.2">
      <c r="A59" s="165"/>
      <c r="B59" s="166"/>
      <c r="C59" s="168" t="s">
        <v>152</v>
      </c>
      <c r="D59" s="167"/>
      <c r="E59" s="207">
        <f>SUM(E60:E61)</f>
        <v>0</v>
      </c>
      <c r="F59" s="207">
        <f>SUM(F60:F61)</f>
        <v>0</v>
      </c>
      <c r="G59" s="181" t="e">
        <f t="shared" si="0"/>
        <v>#DIV/0!</v>
      </c>
    </row>
    <row r="60" spans="1:8" x14ac:dyDescent="0.2">
      <c r="A60" s="10"/>
      <c r="B60" s="21"/>
      <c r="C60" s="22"/>
      <c r="D60" s="11" t="s">
        <v>11</v>
      </c>
      <c r="E60" s="208"/>
      <c r="F60" s="208"/>
      <c r="G60" s="12" t="e">
        <f t="shared" si="0"/>
        <v>#DIV/0!</v>
      </c>
      <c r="H60" s="356" t="s">
        <v>1135</v>
      </c>
    </row>
    <row r="61" spans="1:8" x14ac:dyDescent="0.2">
      <c r="A61" s="10"/>
      <c r="B61" s="21"/>
      <c r="C61" s="22"/>
      <c r="D61" s="11" t="s">
        <v>12</v>
      </c>
      <c r="E61" s="208"/>
      <c r="F61" s="208"/>
      <c r="G61" s="12" t="e">
        <f t="shared" si="0"/>
        <v>#DIV/0!</v>
      </c>
      <c r="H61" s="356" t="s">
        <v>1136</v>
      </c>
    </row>
    <row r="62" spans="1:8" x14ac:dyDescent="0.2">
      <c r="A62" s="165"/>
      <c r="B62" s="166"/>
      <c r="C62" s="168" t="s">
        <v>153</v>
      </c>
      <c r="D62" s="167"/>
      <c r="E62" s="207">
        <f>SUM(E63:E64)</f>
        <v>0</v>
      </c>
      <c r="F62" s="207">
        <f>SUM(F63:F64)</f>
        <v>0</v>
      </c>
      <c r="G62" s="181" t="e">
        <f t="shared" si="0"/>
        <v>#DIV/0!</v>
      </c>
    </row>
    <row r="63" spans="1:8" x14ac:dyDescent="0.2">
      <c r="A63" s="10"/>
      <c r="B63" s="21"/>
      <c r="C63" s="22"/>
      <c r="D63" s="11" t="s">
        <v>11</v>
      </c>
      <c r="E63" s="208"/>
      <c r="F63" s="208"/>
      <c r="G63" s="12" t="e">
        <f t="shared" si="0"/>
        <v>#DIV/0!</v>
      </c>
      <c r="H63" s="356" t="s">
        <v>1137</v>
      </c>
    </row>
    <row r="64" spans="1:8" x14ac:dyDescent="0.2">
      <c r="A64" s="10"/>
      <c r="B64" s="21"/>
      <c r="C64" s="22"/>
      <c r="D64" s="11" t="s">
        <v>12</v>
      </c>
      <c r="E64" s="208"/>
      <c r="F64" s="219"/>
      <c r="G64" s="12" t="e">
        <f t="shared" si="0"/>
        <v>#DIV/0!</v>
      </c>
      <c r="H64" s="356" t="s">
        <v>1138</v>
      </c>
    </row>
    <row r="65" spans="1:8" x14ac:dyDescent="0.2">
      <c r="A65" s="10"/>
      <c r="B65" s="21"/>
      <c r="C65" s="168" t="s">
        <v>680</v>
      </c>
      <c r="D65" s="167"/>
      <c r="E65" s="207">
        <f>SUM(E66:E67)</f>
        <v>0</v>
      </c>
      <c r="F65" s="207">
        <f>SUM(F66:F67)</f>
        <v>0</v>
      </c>
      <c r="G65" s="181" t="e">
        <f t="shared" si="0"/>
        <v>#DIV/0!</v>
      </c>
    </row>
    <row r="66" spans="1:8" x14ac:dyDescent="0.2">
      <c r="A66" s="10"/>
      <c r="B66" s="21"/>
      <c r="C66" s="22"/>
      <c r="D66" s="11" t="s">
        <v>11</v>
      </c>
      <c r="E66" s="208"/>
      <c r="F66" s="208"/>
      <c r="G66" s="12" t="e">
        <f t="shared" si="0"/>
        <v>#DIV/0!</v>
      </c>
      <c r="H66" s="356" t="s">
        <v>1139</v>
      </c>
    </row>
    <row r="67" spans="1:8" x14ac:dyDescent="0.2">
      <c r="A67" s="10"/>
      <c r="B67" s="21"/>
      <c r="C67" s="22"/>
      <c r="D67" s="11" t="s">
        <v>12</v>
      </c>
      <c r="E67" s="208"/>
      <c r="F67" s="219"/>
      <c r="G67" s="12" t="e">
        <f t="shared" si="0"/>
        <v>#DIV/0!</v>
      </c>
      <c r="H67" s="356" t="s">
        <v>1140</v>
      </c>
    </row>
    <row r="68" spans="1:8" x14ac:dyDescent="0.2">
      <c r="A68" s="165"/>
      <c r="B68" s="166"/>
      <c r="C68" s="168" t="s">
        <v>58</v>
      </c>
      <c r="D68" s="167"/>
      <c r="E68" s="207">
        <f>SUM(E69:E70)</f>
        <v>0</v>
      </c>
      <c r="F68" s="207">
        <f>SUM(F69:F70)</f>
        <v>0</v>
      </c>
      <c r="G68" s="181" t="e">
        <f t="shared" ref="G68:G131" si="1">(F68-E68)/E68*100</f>
        <v>#DIV/0!</v>
      </c>
    </row>
    <row r="69" spans="1:8" x14ac:dyDescent="0.2">
      <c r="A69" s="10"/>
      <c r="B69" s="21"/>
      <c r="C69" s="22"/>
      <c r="D69" s="11" t="s">
        <v>11</v>
      </c>
      <c r="E69" s="208"/>
      <c r="F69" s="219"/>
      <c r="G69" s="12" t="e">
        <f t="shared" si="1"/>
        <v>#DIV/0!</v>
      </c>
      <c r="H69" s="356" t="s">
        <v>1141</v>
      </c>
    </row>
    <row r="70" spans="1:8" x14ac:dyDescent="0.2">
      <c r="A70" s="10"/>
      <c r="B70" s="21"/>
      <c r="C70" s="22"/>
      <c r="D70" s="11" t="s">
        <v>12</v>
      </c>
      <c r="E70" s="208"/>
      <c r="F70" s="219"/>
      <c r="G70" s="12" t="e">
        <f t="shared" si="1"/>
        <v>#DIV/0!</v>
      </c>
      <c r="H70" s="356" t="s">
        <v>1142</v>
      </c>
    </row>
    <row r="71" spans="1:8" x14ac:dyDescent="0.2">
      <c r="A71" s="165"/>
      <c r="B71" s="166"/>
      <c r="C71" s="168" t="s">
        <v>59</v>
      </c>
      <c r="D71" s="167"/>
      <c r="E71" s="207">
        <f>SUM(E72:E73)</f>
        <v>0</v>
      </c>
      <c r="F71" s="207">
        <f>SUM(F72:F73)</f>
        <v>0</v>
      </c>
      <c r="G71" s="181" t="e">
        <f t="shared" si="1"/>
        <v>#DIV/0!</v>
      </c>
    </row>
    <row r="72" spans="1:8" x14ac:dyDescent="0.2">
      <c r="A72" s="10"/>
      <c r="B72" s="21"/>
      <c r="C72" s="22"/>
      <c r="D72" s="11" t="s">
        <v>11</v>
      </c>
      <c r="E72" s="208"/>
      <c r="F72" s="208"/>
      <c r="G72" s="12" t="e">
        <f t="shared" si="1"/>
        <v>#DIV/0!</v>
      </c>
      <c r="H72" s="356" t="s">
        <v>1143</v>
      </c>
    </row>
    <row r="73" spans="1:8" x14ac:dyDescent="0.2">
      <c r="A73" s="10"/>
      <c r="B73" s="21"/>
      <c r="C73" s="22"/>
      <c r="D73" s="11" t="s">
        <v>12</v>
      </c>
      <c r="E73" s="208"/>
      <c r="F73" s="208"/>
      <c r="G73" s="12" t="e">
        <f t="shared" si="1"/>
        <v>#DIV/0!</v>
      </c>
      <c r="H73" s="356" t="s">
        <v>1144</v>
      </c>
    </row>
    <row r="74" spans="1:8" x14ac:dyDescent="0.2">
      <c r="A74" s="165"/>
      <c r="B74" s="166"/>
      <c r="C74" s="168" t="s">
        <v>60</v>
      </c>
      <c r="D74" s="167"/>
      <c r="E74" s="207">
        <f>SUM(E75:E76)</f>
        <v>0</v>
      </c>
      <c r="F74" s="207">
        <f>SUM(F75:F76)</f>
        <v>0</v>
      </c>
      <c r="G74" s="181" t="e">
        <f t="shared" si="1"/>
        <v>#DIV/0!</v>
      </c>
    </row>
    <row r="75" spans="1:8" x14ac:dyDescent="0.2">
      <c r="A75" s="10"/>
      <c r="B75" s="21"/>
      <c r="C75" s="22"/>
      <c r="D75" s="11" t="s">
        <v>11</v>
      </c>
      <c r="E75" s="208"/>
      <c r="F75" s="208"/>
      <c r="G75" s="12" t="e">
        <f t="shared" si="1"/>
        <v>#DIV/0!</v>
      </c>
      <c r="H75" s="356" t="s">
        <v>1145</v>
      </c>
    </row>
    <row r="76" spans="1:8" x14ac:dyDescent="0.2">
      <c r="A76" s="10"/>
      <c r="B76" s="21"/>
      <c r="C76" s="22"/>
      <c r="D76" s="11" t="s">
        <v>12</v>
      </c>
      <c r="E76" s="208"/>
      <c r="F76" s="208"/>
      <c r="G76" s="12" t="e">
        <f t="shared" si="1"/>
        <v>#DIV/0!</v>
      </c>
      <c r="H76" s="356" t="s">
        <v>1146</v>
      </c>
    </row>
    <row r="77" spans="1:8" x14ac:dyDescent="0.2">
      <c r="A77" s="165"/>
      <c r="B77" s="166"/>
      <c r="C77" s="168" t="s">
        <v>715</v>
      </c>
      <c r="D77" s="167"/>
      <c r="E77" s="207">
        <f>SUM(E78:E79)</f>
        <v>0</v>
      </c>
      <c r="F77" s="207">
        <f>SUM(F78:F79)</f>
        <v>0</v>
      </c>
      <c r="G77" s="181" t="e">
        <f t="shared" si="1"/>
        <v>#DIV/0!</v>
      </c>
    </row>
    <row r="78" spans="1:8" x14ac:dyDescent="0.2">
      <c r="A78" s="10"/>
      <c r="B78" s="21"/>
      <c r="C78" s="22"/>
      <c r="D78" s="11" t="s">
        <v>11</v>
      </c>
      <c r="E78" s="208"/>
      <c r="F78" s="208"/>
      <c r="G78" s="12" t="e">
        <f t="shared" si="1"/>
        <v>#DIV/0!</v>
      </c>
      <c r="H78" s="356" t="s">
        <v>1147</v>
      </c>
    </row>
    <row r="79" spans="1:8" x14ac:dyDescent="0.2">
      <c r="A79" s="10"/>
      <c r="B79" s="21"/>
      <c r="C79" s="22"/>
      <c r="D79" s="11" t="s">
        <v>12</v>
      </c>
      <c r="E79" s="208"/>
      <c r="F79" s="208"/>
      <c r="G79" s="12" t="e">
        <f t="shared" si="1"/>
        <v>#DIV/0!</v>
      </c>
      <c r="H79" s="356" t="s">
        <v>1148</v>
      </c>
    </row>
    <row r="80" spans="1:8" x14ac:dyDescent="0.2">
      <c r="A80" s="165"/>
      <c r="B80" s="166"/>
      <c r="C80" s="168" t="s">
        <v>81</v>
      </c>
      <c r="D80" s="167"/>
      <c r="E80" s="207">
        <f>SUM(E81:E82)</f>
        <v>0</v>
      </c>
      <c r="F80" s="207">
        <f>SUM(F81:F82)</f>
        <v>0</v>
      </c>
      <c r="G80" s="181" t="e">
        <f t="shared" si="1"/>
        <v>#DIV/0!</v>
      </c>
    </row>
    <row r="81" spans="1:8" x14ac:dyDescent="0.2">
      <c r="A81" s="10"/>
      <c r="B81" s="21"/>
      <c r="C81" s="22"/>
      <c r="D81" s="11" t="s">
        <v>11</v>
      </c>
      <c r="E81" s="208"/>
      <c r="F81" s="219"/>
      <c r="G81" s="12" t="e">
        <f t="shared" si="1"/>
        <v>#DIV/0!</v>
      </c>
      <c r="H81" s="356" t="s">
        <v>1149</v>
      </c>
    </row>
    <row r="82" spans="1:8" x14ac:dyDescent="0.2">
      <c r="A82" s="10"/>
      <c r="B82" s="21"/>
      <c r="C82" s="22"/>
      <c r="D82" s="11" t="s">
        <v>12</v>
      </c>
      <c r="E82" s="208"/>
      <c r="F82" s="219"/>
      <c r="G82" s="12" t="e">
        <f t="shared" si="1"/>
        <v>#DIV/0!</v>
      </c>
      <c r="H82" s="356" t="s">
        <v>1150</v>
      </c>
    </row>
    <row r="83" spans="1:8" x14ac:dyDescent="0.2">
      <c r="A83" s="135">
        <v>5</v>
      </c>
      <c r="B83" s="141" t="s">
        <v>68</v>
      </c>
      <c r="C83" s="142"/>
      <c r="D83" s="143"/>
      <c r="E83" s="205">
        <f>SUM(E84)</f>
        <v>0</v>
      </c>
      <c r="F83" s="205">
        <f>SUM(F84)</f>
        <v>0</v>
      </c>
      <c r="G83" s="174" t="e">
        <f t="shared" si="1"/>
        <v>#DIV/0!</v>
      </c>
    </row>
    <row r="84" spans="1:8" x14ac:dyDescent="0.2">
      <c r="A84" s="10"/>
      <c r="B84" s="21"/>
      <c r="C84" s="22" t="s">
        <v>69</v>
      </c>
      <c r="D84" s="23"/>
      <c r="E84" s="208"/>
      <c r="F84" s="208"/>
      <c r="G84" s="12" t="e">
        <f t="shared" si="1"/>
        <v>#DIV/0!</v>
      </c>
      <c r="H84" s="356" t="s">
        <v>1151</v>
      </c>
    </row>
    <row r="85" spans="1:8" x14ac:dyDescent="0.2">
      <c r="A85" s="135">
        <v>6</v>
      </c>
      <c r="B85" s="141" t="s">
        <v>1152</v>
      </c>
      <c r="C85" s="142"/>
      <c r="D85" s="143"/>
      <c r="E85" s="205">
        <f>SUM(E86)</f>
        <v>0</v>
      </c>
      <c r="F85" s="205">
        <f>SUM(F86)</f>
        <v>0</v>
      </c>
      <c r="G85" s="174" t="e">
        <f t="shared" si="1"/>
        <v>#DIV/0!</v>
      </c>
    </row>
    <row r="86" spans="1:8" x14ac:dyDescent="0.2">
      <c r="A86" s="10"/>
      <c r="B86" s="21"/>
      <c r="C86" s="22" t="s">
        <v>1153</v>
      </c>
      <c r="D86" s="23"/>
      <c r="E86" s="208"/>
      <c r="F86" s="208"/>
      <c r="G86" s="12" t="e">
        <f t="shared" si="1"/>
        <v>#DIV/0!</v>
      </c>
      <c r="H86" s="356" t="s">
        <v>1154</v>
      </c>
    </row>
    <row r="87" spans="1:8" x14ac:dyDescent="0.2">
      <c r="A87" s="135">
        <v>7</v>
      </c>
      <c r="B87" s="141" t="s">
        <v>70</v>
      </c>
      <c r="C87" s="142"/>
      <c r="D87" s="143"/>
      <c r="E87" s="205">
        <f>SUM(E88)</f>
        <v>0</v>
      </c>
      <c r="F87" s="205">
        <f>SUM(F88)</f>
        <v>0</v>
      </c>
      <c r="G87" s="174" t="e">
        <f t="shared" si="1"/>
        <v>#DIV/0!</v>
      </c>
    </row>
    <row r="88" spans="1:8" x14ac:dyDescent="0.2">
      <c r="A88" s="10"/>
      <c r="B88" s="21"/>
      <c r="C88" s="22" t="s">
        <v>71</v>
      </c>
      <c r="D88" s="23"/>
      <c r="E88" s="391"/>
      <c r="F88" s="391"/>
      <c r="G88" s="12" t="e">
        <f t="shared" si="1"/>
        <v>#DIV/0!</v>
      </c>
      <c r="H88" s="356" t="s">
        <v>1155</v>
      </c>
    </row>
    <row r="89" spans="1:8" x14ac:dyDescent="0.2">
      <c r="A89" s="145"/>
      <c r="B89" s="146"/>
      <c r="C89" s="147"/>
      <c r="D89" s="148" t="s">
        <v>141</v>
      </c>
      <c r="E89" s="211">
        <f>SUM(E3,E16,E56,E58,E83,E85,E87)</f>
        <v>0</v>
      </c>
      <c r="F89" s="211">
        <f>SUM(F3,F16,F56,F58,F83,F85,F87)</f>
        <v>0</v>
      </c>
      <c r="G89" s="182" t="e">
        <f t="shared" si="1"/>
        <v>#DIV/0!</v>
      </c>
    </row>
    <row r="90" spans="1:8" ht="18" x14ac:dyDescent="0.25">
      <c r="A90" s="225" t="s">
        <v>72</v>
      </c>
      <c r="B90" s="225"/>
      <c r="C90" s="225"/>
      <c r="D90" s="225"/>
      <c r="E90" s="225"/>
      <c r="F90" s="225"/>
      <c r="G90" s="225"/>
    </row>
    <row r="91" spans="1:8" x14ac:dyDescent="0.2">
      <c r="A91" s="149">
        <v>1</v>
      </c>
      <c r="B91" s="150" t="s">
        <v>13</v>
      </c>
      <c r="C91" s="150"/>
      <c r="D91" s="151"/>
      <c r="E91" s="152">
        <f>SUM(E92,E102)</f>
        <v>0</v>
      </c>
      <c r="F91" s="152">
        <f>SUM(F92,F102)</f>
        <v>0</v>
      </c>
      <c r="G91" s="174" t="e">
        <f t="shared" si="1"/>
        <v>#DIV/0!</v>
      </c>
    </row>
    <row r="92" spans="1:8" x14ac:dyDescent="0.2">
      <c r="A92" s="183"/>
      <c r="B92" s="220">
        <v>1.1000000000000001</v>
      </c>
      <c r="C92" s="184" t="s">
        <v>838</v>
      </c>
      <c r="D92" s="184"/>
      <c r="E92" s="185">
        <f>SUM(E93:E101)</f>
        <v>0</v>
      </c>
      <c r="F92" s="185">
        <f>SUM(F93:F101)</f>
        <v>0</v>
      </c>
      <c r="G92" s="186" t="e">
        <f t="shared" si="1"/>
        <v>#DIV/0!</v>
      </c>
    </row>
    <row r="93" spans="1:8" x14ac:dyDescent="0.2">
      <c r="A93" s="10"/>
      <c r="B93" s="10"/>
      <c r="C93" s="11" t="s">
        <v>1168</v>
      </c>
      <c r="D93" s="7"/>
      <c r="E93" s="204"/>
      <c r="F93" s="204"/>
      <c r="G93" s="12" t="e">
        <f t="shared" si="1"/>
        <v>#DIV/0!</v>
      </c>
      <c r="H93" s="356" t="s">
        <v>1162</v>
      </c>
    </row>
    <row r="94" spans="1:8" x14ac:dyDescent="0.2">
      <c r="A94" s="10"/>
      <c r="B94" s="10"/>
      <c r="C94" s="11" t="s">
        <v>53</v>
      </c>
      <c r="D94" s="7"/>
      <c r="E94" s="204"/>
      <c r="F94" s="204"/>
      <c r="G94" s="12" t="e">
        <f t="shared" si="1"/>
        <v>#DIV/0!</v>
      </c>
      <c r="H94" s="356" t="s">
        <v>1163</v>
      </c>
    </row>
    <row r="95" spans="1:8" x14ac:dyDescent="0.2">
      <c r="A95" s="10"/>
      <c r="B95" s="10"/>
      <c r="C95" s="11" t="s">
        <v>1167</v>
      </c>
      <c r="D95" s="7"/>
      <c r="E95" s="204"/>
      <c r="F95" s="204"/>
      <c r="G95" s="12" t="e">
        <f t="shared" si="1"/>
        <v>#DIV/0!</v>
      </c>
      <c r="H95" s="356" t="s">
        <v>1164</v>
      </c>
    </row>
    <row r="96" spans="1:8" x14ac:dyDescent="0.2">
      <c r="A96" s="10"/>
      <c r="B96" s="10"/>
      <c r="C96" s="11" t="s">
        <v>1169</v>
      </c>
      <c r="D96" s="7"/>
      <c r="E96" s="204"/>
      <c r="F96" s="204"/>
      <c r="G96" s="12" t="e">
        <f t="shared" si="1"/>
        <v>#DIV/0!</v>
      </c>
      <c r="H96" s="356" t="s">
        <v>1165</v>
      </c>
    </row>
    <row r="97" spans="1:8" x14ac:dyDescent="0.2">
      <c r="A97" s="10"/>
      <c r="B97" s="10"/>
      <c r="C97" s="11" t="s">
        <v>56</v>
      </c>
      <c r="D97" s="7"/>
      <c r="E97" s="392"/>
      <c r="F97" s="204"/>
      <c r="G97" s="12" t="e">
        <f t="shared" si="1"/>
        <v>#DIV/0!</v>
      </c>
      <c r="H97" s="356" t="s">
        <v>1166</v>
      </c>
    </row>
    <row r="98" spans="1:8" x14ac:dyDescent="0.2">
      <c r="A98" s="10"/>
      <c r="B98" s="10"/>
      <c r="C98" s="11" t="s">
        <v>1159</v>
      </c>
      <c r="D98" s="7"/>
      <c r="E98" s="204"/>
      <c r="F98" s="204"/>
      <c r="G98" s="12" t="e">
        <f t="shared" si="1"/>
        <v>#DIV/0!</v>
      </c>
      <c r="H98" s="356" t="s">
        <v>1173</v>
      </c>
    </row>
    <row r="99" spans="1:8" x14ac:dyDescent="0.2">
      <c r="A99" s="10"/>
      <c r="B99" s="10"/>
      <c r="C99" s="11" t="s">
        <v>1160</v>
      </c>
      <c r="D99" s="13"/>
      <c r="E99" s="204"/>
      <c r="F99" s="204"/>
      <c r="G99" s="12" t="e">
        <f t="shared" si="1"/>
        <v>#DIV/0!</v>
      </c>
      <c r="H99" s="356" t="s">
        <v>1174</v>
      </c>
    </row>
    <row r="100" spans="1:8" x14ac:dyDescent="0.2">
      <c r="A100" s="10"/>
      <c r="B100" s="10"/>
      <c r="C100" s="11" t="s">
        <v>1161</v>
      </c>
      <c r="D100" s="13"/>
      <c r="E100" s="392"/>
      <c r="F100" s="204"/>
      <c r="G100" s="12" t="e">
        <f t="shared" si="1"/>
        <v>#DIV/0!</v>
      </c>
      <c r="H100" s="356" t="s">
        <v>1170</v>
      </c>
    </row>
    <row r="101" spans="1:8" x14ac:dyDescent="0.2">
      <c r="A101" s="10"/>
      <c r="B101" s="10"/>
      <c r="C101" s="11" t="s">
        <v>1177</v>
      </c>
      <c r="D101" s="13"/>
      <c r="E101" s="204"/>
      <c r="F101" s="204"/>
      <c r="G101" s="12" t="e">
        <f t="shared" si="1"/>
        <v>#DIV/0!</v>
      </c>
      <c r="H101" s="356" t="s">
        <v>1172</v>
      </c>
    </row>
    <row r="102" spans="1:8" x14ac:dyDescent="0.2">
      <c r="A102" s="156"/>
      <c r="B102" s="221">
        <v>1.2</v>
      </c>
      <c r="C102" s="161" t="s">
        <v>837</v>
      </c>
      <c r="D102" s="157"/>
      <c r="E102" s="158">
        <f>SUM(E103:E106,E111,E112)</f>
        <v>0</v>
      </c>
      <c r="F102" s="158">
        <f>SUM(F103:F106,F111,F112)</f>
        <v>0</v>
      </c>
      <c r="G102" s="179" t="e">
        <f t="shared" si="1"/>
        <v>#DIV/0!</v>
      </c>
    </row>
    <row r="103" spans="1:8" x14ac:dyDescent="0.2">
      <c r="A103" s="25"/>
      <c r="B103" s="26"/>
      <c r="C103" s="27"/>
      <c r="D103" s="28" t="s">
        <v>73</v>
      </c>
      <c r="E103" s="16"/>
      <c r="F103" s="16"/>
      <c r="G103" s="12" t="e">
        <f t="shared" si="1"/>
        <v>#DIV/0!</v>
      </c>
      <c r="H103" s="356" t="s">
        <v>1178</v>
      </c>
    </row>
    <row r="104" spans="1:8" x14ac:dyDescent="0.2">
      <c r="A104" s="25"/>
      <c r="B104" s="26"/>
      <c r="C104" s="27"/>
      <c r="D104" s="28" t="s">
        <v>74</v>
      </c>
      <c r="E104" s="12"/>
      <c r="F104" s="12"/>
      <c r="G104" s="12" t="e">
        <f t="shared" si="1"/>
        <v>#DIV/0!</v>
      </c>
      <c r="H104" s="356" t="s">
        <v>1179</v>
      </c>
    </row>
    <row r="105" spans="1:8" x14ac:dyDescent="0.2">
      <c r="A105" s="25"/>
      <c r="B105" s="26"/>
      <c r="C105" s="27"/>
      <c r="D105" s="28" t="s">
        <v>21</v>
      </c>
      <c r="E105" s="12"/>
      <c r="F105" s="12"/>
      <c r="G105" s="12" t="e">
        <f t="shared" si="1"/>
        <v>#DIV/0!</v>
      </c>
      <c r="H105" s="356" t="s">
        <v>1180</v>
      </c>
    </row>
    <row r="106" spans="1:8" x14ac:dyDescent="0.2">
      <c r="A106" s="169"/>
      <c r="B106" s="170"/>
      <c r="C106" s="202"/>
      <c r="D106" s="203" t="s">
        <v>22</v>
      </c>
      <c r="E106" s="230">
        <f>SUM(E107:E110)</f>
        <v>0</v>
      </c>
      <c r="F106" s="230">
        <f>SUM(F107:F110)</f>
        <v>0</v>
      </c>
      <c r="G106" s="181" t="e">
        <f t="shared" si="1"/>
        <v>#DIV/0!</v>
      </c>
    </row>
    <row r="107" spans="1:8" x14ac:dyDescent="0.2">
      <c r="A107" s="25"/>
      <c r="B107" s="26"/>
      <c r="C107" s="27"/>
      <c r="D107" s="28" t="s">
        <v>23</v>
      </c>
      <c r="E107" s="12"/>
      <c r="F107" s="12"/>
      <c r="G107" s="12" t="e">
        <f t="shared" si="1"/>
        <v>#DIV/0!</v>
      </c>
      <c r="H107" s="356" t="s">
        <v>1171</v>
      </c>
    </row>
    <row r="108" spans="1:8" x14ac:dyDescent="0.2">
      <c r="A108" s="25"/>
      <c r="B108" s="26"/>
      <c r="C108" s="27"/>
      <c r="D108" s="28" t="s">
        <v>719</v>
      </c>
      <c r="E108" s="12"/>
      <c r="F108" s="12"/>
      <c r="G108" s="12" t="e">
        <f t="shared" si="1"/>
        <v>#DIV/0!</v>
      </c>
      <c r="H108" s="356" t="s">
        <v>1175</v>
      </c>
    </row>
    <row r="109" spans="1:8" x14ac:dyDescent="0.2">
      <c r="A109" s="25"/>
      <c r="B109" s="26"/>
      <c r="C109" s="27"/>
      <c r="D109" s="28" t="s">
        <v>720</v>
      </c>
      <c r="E109" s="6"/>
      <c r="F109" s="6"/>
      <c r="G109" s="12" t="e">
        <f t="shared" si="1"/>
        <v>#DIV/0!</v>
      </c>
      <c r="H109" s="356" t="s">
        <v>1176</v>
      </c>
    </row>
    <row r="110" spans="1:8" x14ac:dyDescent="0.2">
      <c r="A110" s="25"/>
      <c r="B110" s="26"/>
      <c r="C110" s="27"/>
      <c r="D110" s="28" t="s">
        <v>75</v>
      </c>
      <c r="E110" s="6"/>
      <c r="F110" s="6"/>
      <c r="G110" s="12" t="e">
        <f t="shared" si="1"/>
        <v>#DIV/0!</v>
      </c>
      <c r="H110" s="356" t="s">
        <v>1181</v>
      </c>
    </row>
    <row r="111" spans="1:8" x14ac:dyDescent="0.2">
      <c r="A111" s="25"/>
      <c r="B111" s="26"/>
      <c r="C111" s="27"/>
      <c r="D111" s="28" t="s">
        <v>1185</v>
      </c>
      <c r="E111" s="6"/>
      <c r="F111" s="6"/>
      <c r="G111" s="12" t="e">
        <f t="shared" si="1"/>
        <v>#DIV/0!</v>
      </c>
      <c r="H111" s="356" t="s">
        <v>1182</v>
      </c>
    </row>
    <row r="112" spans="1:8" x14ac:dyDescent="0.2">
      <c r="A112" s="25"/>
      <c r="B112" s="26"/>
      <c r="C112" s="27"/>
      <c r="D112" s="28" t="s">
        <v>61</v>
      </c>
      <c r="E112" s="6"/>
      <c r="F112" s="6"/>
      <c r="G112" s="12" t="e">
        <f t="shared" si="1"/>
        <v>#DIV/0!</v>
      </c>
      <c r="H112" s="356" t="s">
        <v>1183</v>
      </c>
    </row>
    <row r="113" spans="1:8" x14ac:dyDescent="0.2">
      <c r="A113" s="149">
        <v>2</v>
      </c>
      <c r="B113" s="153" t="s">
        <v>25</v>
      </c>
      <c r="C113" s="154"/>
      <c r="D113" s="142"/>
      <c r="E113" s="155">
        <f>SUM(E114:E115)</f>
        <v>0</v>
      </c>
      <c r="F113" s="155">
        <f>SUM(F114:F115)</f>
        <v>0</v>
      </c>
      <c r="G113" s="174" t="e">
        <f t="shared" si="1"/>
        <v>#DIV/0!</v>
      </c>
    </row>
    <row r="114" spans="1:8" x14ac:dyDescent="0.2">
      <c r="A114" s="187"/>
      <c r="B114" s="188" t="s">
        <v>1235</v>
      </c>
      <c r="C114" s="189"/>
      <c r="D114" s="190"/>
      <c r="E114" s="191"/>
      <c r="F114" s="191"/>
      <c r="G114" s="179" t="e">
        <f t="shared" si="1"/>
        <v>#DIV/0!</v>
      </c>
      <c r="H114" s="356" t="s">
        <v>1184</v>
      </c>
    </row>
    <row r="115" spans="1:8" x14ac:dyDescent="0.2">
      <c r="A115" s="183"/>
      <c r="B115" s="192" t="s">
        <v>26</v>
      </c>
      <c r="C115" s="192"/>
      <c r="D115" s="193"/>
      <c r="E115" s="194">
        <f>SUM(E116,E125,E130,E142,E144,E149,E154,E158)</f>
        <v>0</v>
      </c>
      <c r="F115" s="194">
        <f>SUM(F116,F125,F130,F142,F144,F149,F154,F158)</f>
        <v>0</v>
      </c>
      <c r="G115" s="181" t="e">
        <f t="shared" si="1"/>
        <v>#DIV/0!</v>
      </c>
    </row>
    <row r="116" spans="1:8" x14ac:dyDescent="0.2">
      <c r="A116" s="156"/>
      <c r="B116" s="159">
        <v>2.1</v>
      </c>
      <c r="C116" s="160" t="s">
        <v>27</v>
      </c>
      <c r="D116" s="161"/>
      <c r="E116" s="158">
        <f>SUM(E117:E119,E122:E124)</f>
        <v>0</v>
      </c>
      <c r="F116" s="158">
        <f>SUM(F117:F119,F122:F124)</f>
        <v>0</v>
      </c>
      <c r="G116" s="179" t="e">
        <f t="shared" si="1"/>
        <v>#DIV/0!</v>
      </c>
    </row>
    <row r="117" spans="1:8" x14ac:dyDescent="0.2">
      <c r="A117" s="25"/>
      <c r="B117" s="26"/>
      <c r="C117" s="31" t="s">
        <v>76</v>
      </c>
      <c r="D117" s="32"/>
      <c r="E117" s="6"/>
      <c r="F117" s="6"/>
      <c r="G117" s="12" t="e">
        <f t="shared" si="1"/>
        <v>#DIV/0!</v>
      </c>
      <c r="H117" s="356" t="s">
        <v>1186</v>
      </c>
    </row>
    <row r="118" spans="1:8" x14ac:dyDescent="0.2">
      <c r="A118" s="25"/>
      <c r="B118" s="26"/>
      <c r="C118" s="31" t="s">
        <v>28</v>
      </c>
      <c r="D118" s="32"/>
      <c r="E118" s="12"/>
      <c r="F118" s="6"/>
      <c r="G118" s="12" t="e">
        <f t="shared" si="1"/>
        <v>#DIV/0!</v>
      </c>
      <c r="H118" s="356" t="s">
        <v>1187</v>
      </c>
    </row>
    <row r="119" spans="1:8" x14ac:dyDescent="0.2">
      <c r="A119" s="169"/>
      <c r="B119" s="170"/>
      <c r="C119" s="171" t="s">
        <v>80</v>
      </c>
      <c r="D119" s="167"/>
      <c r="E119" s="195">
        <f>SUM(E120:E121)</f>
        <v>0</v>
      </c>
      <c r="F119" s="195">
        <f>SUM(F120:F121)</f>
        <v>0</v>
      </c>
      <c r="G119" s="181" t="e">
        <f t="shared" si="1"/>
        <v>#DIV/0!</v>
      </c>
    </row>
    <row r="120" spans="1:8" x14ac:dyDescent="0.2">
      <c r="A120" s="25"/>
      <c r="B120" s="26"/>
      <c r="C120" s="23"/>
      <c r="D120" s="23" t="s">
        <v>1191</v>
      </c>
      <c r="E120" s="6"/>
      <c r="F120" s="6"/>
      <c r="G120" s="12" t="e">
        <f t="shared" si="1"/>
        <v>#DIV/0!</v>
      </c>
      <c r="H120" s="356" t="s">
        <v>1188</v>
      </c>
    </row>
    <row r="121" spans="1:8" x14ac:dyDescent="0.2">
      <c r="A121" s="25"/>
      <c r="B121" s="26"/>
      <c r="C121" s="23"/>
      <c r="D121" s="23" t="s">
        <v>79</v>
      </c>
      <c r="E121" s="6"/>
      <c r="F121" s="6"/>
      <c r="G121" s="12" t="e">
        <f t="shared" si="1"/>
        <v>#DIV/0!</v>
      </c>
      <c r="H121" s="356" t="s">
        <v>1189</v>
      </c>
    </row>
    <row r="122" spans="1:8" x14ac:dyDescent="0.2">
      <c r="A122" s="169"/>
      <c r="B122" s="170"/>
      <c r="C122" s="167" t="s">
        <v>1190</v>
      </c>
      <c r="D122" s="167"/>
      <c r="E122" s="6"/>
      <c r="F122" s="6"/>
      <c r="G122" s="181" t="e">
        <f t="shared" si="1"/>
        <v>#DIV/0!</v>
      </c>
      <c r="H122" s="356" t="s">
        <v>1192</v>
      </c>
    </row>
    <row r="123" spans="1:8" x14ac:dyDescent="0.2">
      <c r="A123" s="25"/>
      <c r="B123" s="26"/>
      <c r="C123" s="31" t="s">
        <v>29</v>
      </c>
      <c r="D123" s="23"/>
      <c r="E123" s="6"/>
      <c r="F123" s="217"/>
      <c r="G123" s="12" t="e">
        <f t="shared" si="1"/>
        <v>#DIV/0!</v>
      </c>
      <c r="H123" s="356" t="s">
        <v>1193</v>
      </c>
    </row>
    <row r="124" spans="1:8" x14ac:dyDescent="0.2">
      <c r="A124" s="25"/>
      <c r="B124" s="26"/>
      <c r="C124" s="31" t="s">
        <v>839</v>
      </c>
      <c r="D124" s="23"/>
      <c r="E124" s="6"/>
      <c r="F124" s="6"/>
      <c r="G124" s="12" t="e">
        <f t="shared" si="1"/>
        <v>#DIV/0!</v>
      </c>
      <c r="H124" s="356" t="s">
        <v>1194</v>
      </c>
    </row>
    <row r="125" spans="1:8" x14ac:dyDescent="0.2">
      <c r="A125" s="156"/>
      <c r="B125" s="159">
        <v>2.2000000000000002</v>
      </c>
      <c r="C125" s="160" t="s">
        <v>30</v>
      </c>
      <c r="D125" s="161"/>
      <c r="E125" s="158">
        <f>SUM(E126:E129)</f>
        <v>0</v>
      </c>
      <c r="F125" s="158">
        <f>SUM(F126:F129)</f>
        <v>0</v>
      </c>
      <c r="G125" s="179" t="e">
        <f t="shared" si="1"/>
        <v>#DIV/0!</v>
      </c>
    </row>
    <row r="126" spans="1:8" x14ac:dyDescent="0.2">
      <c r="A126" s="25"/>
      <c r="B126" s="26"/>
      <c r="C126" s="31" t="s">
        <v>31</v>
      </c>
      <c r="D126" s="23"/>
      <c r="E126" s="6"/>
      <c r="F126" s="6"/>
      <c r="G126" s="12" t="e">
        <f t="shared" si="1"/>
        <v>#DIV/0!</v>
      </c>
      <c r="H126" s="356" t="s">
        <v>1195</v>
      </c>
    </row>
    <row r="127" spans="1:8" x14ac:dyDescent="0.2">
      <c r="A127" s="25"/>
      <c r="B127" s="26"/>
      <c r="C127" s="31" t="s">
        <v>32</v>
      </c>
      <c r="D127" s="23"/>
      <c r="E127" s="6"/>
      <c r="F127" s="6"/>
      <c r="G127" s="12" t="e">
        <f t="shared" si="1"/>
        <v>#DIV/0!</v>
      </c>
      <c r="H127" s="356" t="s">
        <v>1196</v>
      </c>
    </row>
    <row r="128" spans="1:8" x14ac:dyDescent="0.2">
      <c r="A128" s="25"/>
      <c r="B128" s="26"/>
      <c r="C128" s="31" t="s">
        <v>33</v>
      </c>
      <c r="D128" s="23"/>
      <c r="E128" s="6"/>
      <c r="F128" s="6"/>
      <c r="G128" s="12" t="e">
        <f t="shared" si="1"/>
        <v>#DIV/0!</v>
      </c>
      <c r="H128" s="356" t="s">
        <v>1197</v>
      </c>
    </row>
    <row r="129" spans="1:8" x14ac:dyDescent="0.2">
      <c r="A129" s="25"/>
      <c r="B129" s="26"/>
      <c r="C129" s="31" t="s">
        <v>34</v>
      </c>
      <c r="D129" s="23"/>
      <c r="E129" s="6"/>
      <c r="F129" s="6"/>
      <c r="G129" s="12" t="e">
        <f t="shared" si="1"/>
        <v>#DIV/0!</v>
      </c>
      <c r="H129" s="356" t="s">
        <v>1198</v>
      </c>
    </row>
    <row r="130" spans="1:8" x14ac:dyDescent="0.2">
      <c r="A130" s="156"/>
      <c r="B130" s="159">
        <v>2.2999999999999998</v>
      </c>
      <c r="C130" s="160" t="s">
        <v>35</v>
      </c>
      <c r="D130" s="161"/>
      <c r="E130" s="158">
        <f>SUM(E131:E141)</f>
        <v>0</v>
      </c>
      <c r="F130" s="158">
        <f>SUM(F131:F141)</f>
        <v>0</v>
      </c>
      <c r="G130" s="179" t="e">
        <f t="shared" si="1"/>
        <v>#DIV/0!</v>
      </c>
    </row>
    <row r="131" spans="1:8" x14ac:dyDescent="0.2">
      <c r="A131" s="25"/>
      <c r="B131" s="26"/>
      <c r="C131" s="31" t="s">
        <v>763</v>
      </c>
      <c r="D131" s="23"/>
      <c r="E131" s="6"/>
      <c r="F131" s="6"/>
      <c r="G131" s="12" t="e">
        <f t="shared" si="1"/>
        <v>#DIV/0!</v>
      </c>
      <c r="H131" s="356" t="s">
        <v>1199</v>
      </c>
    </row>
    <row r="132" spans="1:8" x14ac:dyDescent="0.2">
      <c r="A132" s="25"/>
      <c r="B132" s="26"/>
      <c r="C132" s="31" t="s">
        <v>764</v>
      </c>
      <c r="D132" s="23"/>
      <c r="E132" s="6"/>
      <c r="F132" s="6"/>
      <c r="G132" s="12" t="e">
        <f t="shared" ref="G132:G166" si="2">(F132-E132)/E132*100</f>
        <v>#DIV/0!</v>
      </c>
      <c r="H132" s="356" t="s">
        <v>1200</v>
      </c>
    </row>
    <row r="133" spans="1:8" x14ac:dyDescent="0.2">
      <c r="A133" s="25"/>
      <c r="B133" s="26"/>
      <c r="C133" s="31" t="s">
        <v>765</v>
      </c>
      <c r="D133" s="23"/>
      <c r="E133" s="6"/>
      <c r="F133" s="6"/>
      <c r="G133" s="12" t="e">
        <f t="shared" si="2"/>
        <v>#DIV/0!</v>
      </c>
      <c r="H133" s="356" t="s">
        <v>1201</v>
      </c>
    </row>
    <row r="134" spans="1:8" x14ac:dyDescent="0.2">
      <c r="A134" s="25"/>
      <c r="B134" s="26"/>
      <c r="C134" s="31" t="s">
        <v>766</v>
      </c>
      <c r="D134" s="23"/>
      <c r="E134" s="6"/>
      <c r="F134" s="6"/>
      <c r="G134" s="12" t="e">
        <f t="shared" si="2"/>
        <v>#DIV/0!</v>
      </c>
      <c r="H134" s="356" t="s">
        <v>1202</v>
      </c>
    </row>
    <row r="135" spans="1:8" x14ac:dyDescent="0.2">
      <c r="A135" s="25"/>
      <c r="B135" s="26"/>
      <c r="C135" s="31" t="s">
        <v>767</v>
      </c>
      <c r="D135" s="23"/>
      <c r="E135" s="6"/>
      <c r="F135" s="6"/>
      <c r="G135" s="12" t="e">
        <f t="shared" si="2"/>
        <v>#DIV/0!</v>
      </c>
      <c r="H135" s="356" t="s">
        <v>1203</v>
      </c>
    </row>
    <row r="136" spans="1:8" x14ac:dyDescent="0.2">
      <c r="A136" s="25"/>
      <c r="B136" s="26"/>
      <c r="C136" s="31" t="s">
        <v>768</v>
      </c>
      <c r="D136" s="23"/>
      <c r="E136" s="6"/>
      <c r="F136" s="6"/>
      <c r="G136" s="12" t="e">
        <f t="shared" si="2"/>
        <v>#DIV/0!</v>
      </c>
      <c r="H136" s="356" t="s">
        <v>1204</v>
      </c>
    </row>
    <row r="137" spans="1:8" x14ac:dyDescent="0.2">
      <c r="A137" s="25"/>
      <c r="B137" s="26"/>
      <c r="C137" s="31" t="s">
        <v>769</v>
      </c>
      <c r="D137" s="23"/>
      <c r="E137" s="6"/>
      <c r="F137" s="6"/>
      <c r="G137" s="12" t="e">
        <f t="shared" si="2"/>
        <v>#DIV/0!</v>
      </c>
      <c r="H137" s="356" t="s">
        <v>1205</v>
      </c>
    </row>
    <row r="138" spans="1:8" x14ac:dyDescent="0.2">
      <c r="A138" s="25"/>
      <c r="B138" s="26"/>
      <c r="C138" s="31" t="s">
        <v>770</v>
      </c>
      <c r="D138" s="23"/>
      <c r="E138" s="6"/>
      <c r="F138" s="6"/>
      <c r="G138" s="12" t="e">
        <f t="shared" si="2"/>
        <v>#DIV/0!</v>
      </c>
      <c r="H138" s="356" t="s">
        <v>1206</v>
      </c>
    </row>
    <row r="139" spans="1:8" x14ac:dyDescent="0.2">
      <c r="A139" s="25"/>
      <c r="B139" s="26"/>
      <c r="C139" s="31" t="s">
        <v>771</v>
      </c>
      <c r="D139" s="23"/>
      <c r="E139" s="6"/>
      <c r="F139" s="6"/>
      <c r="G139" s="12" t="e">
        <f t="shared" si="2"/>
        <v>#DIV/0!</v>
      </c>
      <c r="H139" s="356" t="s">
        <v>1207</v>
      </c>
    </row>
    <row r="140" spans="1:8" x14ac:dyDescent="0.2">
      <c r="A140" s="25"/>
      <c r="B140" s="26"/>
      <c r="C140" s="31" t="s">
        <v>772</v>
      </c>
      <c r="D140" s="23"/>
      <c r="E140" s="6"/>
      <c r="F140" s="6"/>
      <c r="G140" s="12" t="e">
        <f t="shared" si="2"/>
        <v>#DIV/0!</v>
      </c>
      <c r="H140" s="356" t="s">
        <v>1208</v>
      </c>
    </row>
    <row r="141" spans="1:8" x14ac:dyDescent="0.2">
      <c r="A141" s="25"/>
      <c r="B141" s="26"/>
      <c r="C141" s="31" t="s">
        <v>38</v>
      </c>
      <c r="D141" s="23"/>
      <c r="E141" s="6"/>
      <c r="F141" s="6"/>
      <c r="G141" s="12" t="e">
        <f t="shared" si="2"/>
        <v>#DIV/0!</v>
      </c>
      <c r="H141" s="356" t="s">
        <v>1209</v>
      </c>
    </row>
    <row r="142" spans="1:8" x14ac:dyDescent="0.2">
      <c r="A142" s="156"/>
      <c r="B142" s="159">
        <v>2.4</v>
      </c>
      <c r="C142" s="161" t="s">
        <v>1214</v>
      </c>
      <c r="D142" s="161"/>
      <c r="E142" s="158">
        <f>SUM(E143)</f>
        <v>0</v>
      </c>
      <c r="F142" s="158">
        <f>SUM(F143)</f>
        <v>0</v>
      </c>
      <c r="G142" s="179" t="e">
        <f t="shared" si="2"/>
        <v>#DIV/0!</v>
      </c>
    </row>
    <row r="143" spans="1:8" x14ac:dyDescent="0.2">
      <c r="A143" s="25"/>
      <c r="B143" s="26"/>
      <c r="C143" s="23" t="s">
        <v>1214</v>
      </c>
      <c r="D143" s="23"/>
      <c r="E143" s="6"/>
      <c r="F143" s="6"/>
      <c r="G143" s="12" t="e">
        <f t="shared" si="2"/>
        <v>#DIV/0!</v>
      </c>
      <c r="H143" s="356" t="s">
        <v>1215</v>
      </c>
    </row>
    <row r="144" spans="1:8" x14ac:dyDescent="0.2">
      <c r="A144" s="156"/>
      <c r="B144" s="159">
        <v>2.5</v>
      </c>
      <c r="C144" s="161" t="s">
        <v>39</v>
      </c>
      <c r="D144" s="161"/>
      <c r="E144" s="158">
        <f>SUM(E145:E148)</f>
        <v>0</v>
      </c>
      <c r="F144" s="158">
        <f>SUM(F145:F148)</f>
        <v>0</v>
      </c>
      <c r="G144" s="179" t="e">
        <f t="shared" si="2"/>
        <v>#DIV/0!</v>
      </c>
    </row>
    <row r="145" spans="1:8" x14ac:dyDescent="0.2">
      <c r="A145" s="25"/>
      <c r="B145" s="26"/>
      <c r="C145" s="31" t="s">
        <v>40</v>
      </c>
      <c r="D145" s="23"/>
      <c r="E145" s="6"/>
      <c r="F145" s="6"/>
      <c r="G145" s="12" t="e">
        <f t="shared" si="2"/>
        <v>#DIV/0!</v>
      </c>
      <c r="H145" s="356" t="s">
        <v>1210</v>
      </c>
    </row>
    <row r="146" spans="1:8" x14ac:dyDescent="0.2">
      <c r="A146" s="25"/>
      <c r="B146" s="26"/>
      <c r="C146" s="31" t="s">
        <v>41</v>
      </c>
      <c r="D146" s="23"/>
      <c r="E146" s="6"/>
      <c r="F146" s="6"/>
      <c r="G146" s="12" t="e">
        <f t="shared" si="2"/>
        <v>#DIV/0!</v>
      </c>
      <c r="H146" s="356" t="s">
        <v>1211</v>
      </c>
    </row>
    <row r="147" spans="1:8" x14ac:dyDescent="0.2">
      <c r="A147" s="25"/>
      <c r="B147" s="26"/>
      <c r="C147" s="23" t="s">
        <v>42</v>
      </c>
      <c r="D147" s="23"/>
      <c r="E147" s="6"/>
      <c r="F147" s="6"/>
      <c r="G147" s="12" t="e">
        <f t="shared" si="2"/>
        <v>#DIV/0!</v>
      </c>
      <c r="H147" s="356" t="s">
        <v>1212</v>
      </c>
    </row>
    <row r="148" spans="1:8" x14ac:dyDescent="0.2">
      <c r="A148" s="25"/>
      <c r="B148" s="26"/>
      <c r="C148" s="23" t="s">
        <v>43</v>
      </c>
      <c r="D148" s="23"/>
      <c r="E148" s="6"/>
      <c r="F148" s="6"/>
      <c r="G148" s="12" t="e">
        <f t="shared" si="2"/>
        <v>#DIV/0!</v>
      </c>
      <c r="H148" s="356" t="s">
        <v>1213</v>
      </c>
    </row>
    <row r="149" spans="1:8" x14ac:dyDescent="0.2">
      <c r="A149" s="156"/>
      <c r="B149" s="159">
        <v>2.6</v>
      </c>
      <c r="C149" s="161" t="s">
        <v>44</v>
      </c>
      <c r="D149" s="161"/>
      <c r="E149" s="158">
        <f>SUM(E150:E153)</f>
        <v>0</v>
      </c>
      <c r="F149" s="158">
        <f>SUM(F150:F153)</f>
        <v>0</v>
      </c>
      <c r="G149" s="179" t="e">
        <f t="shared" si="2"/>
        <v>#DIV/0!</v>
      </c>
    </row>
    <row r="150" spans="1:8" x14ac:dyDescent="0.2">
      <c r="A150" s="25"/>
      <c r="B150" s="26"/>
      <c r="C150" s="23" t="s">
        <v>45</v>
      </c>
      <c r="D150" s="23"/>
      <c r="E150" s="226">
        <f>E28</f>
        <v>0</v>
      </c>
      <c r="F150" s="226">
        <f>F28</f>
        <v>0</v>
      </c>
      <c r="G150" s="12" t="e">
        <f t="shared" si="2"/>
        <v>#DIV/0!</v>
      </c>
      <c r="H150" s="356" t="s">
        <v>1216</v>
      </c>
    </row>
    <row r="151" spans="1:8" x14ac:dyDescent="0.2">
      <c r="A151" s="25"/>
      <c r="B151" s="26"/>
      <c r="C151" s="23" t="s">
        <v>1219</v>
      </c>
      <c r="D151" s="23"/>
      <c r="E151" s="6"/>
      <c r="F151" s="217"/>
      <c r="G151" s="12" t="e">
        <f t="shared" si="2"/>
        <v>#DIV/0!</v>
      </c>
      <c r="H151" s="356" t="s">
        <v>1217</v>
      </c>
    </row>
    <row r="152" spans="1:8" x14ac:dyDescent="0.2">
      <c r="A152" s="25"/>
      <c r="B152" s="26"/>
      <c r="C152" s="23" t="s">
        <v>1220</v>
      </c>
      <c r="D152" s="23"/>
      <c r="E152" s="6"/>
      <c r="F152" s="6"/>
      <c r="G152" s="12" t="e">
        <f t="shared" si="2"/>
        <v>#DIV/0!</v>
      </c>
      <c r="H152" s="356" t="s">
        <v>1218</v>
      </c>
    </row>
    <row r="153" spans="1:8" x14ac:dyDescent="0.2">
      <c r="A153" s="25"/>
      <c r="B153" s="26"/>
      <c r="C153" s="23" t="s">
        <v>1221</v>
      </c>
      <c r="D153" s="23"/>
      <c r="E153" s="6"/>
      <c r="F153" s="393"/>
      <c r="G153" s="12" t="e">
        <f t="shared" si="2"/>
        <v>#DIV/0!</v>
      </c>
      <c r="H153" s="356" t="s">
        <v>1218</v>
      </c>
    </row>
    <row r="154" spans="1:8" x14ac:dyDescent="0.2">
      <c r="A154" s="156"/>
      <c r="B154" s="159">
        <v>2.7</v>
      </c>
      <c r="C154" s="160" t="s">
        <v>78</v>
      </c>
      <c r="D154" s="161"/>
      <c r="E154" s="158">
        <f>SUM(E155:E157)</f>
        <v>0</v>
      </c>
      <c r="F154" s="158">
        <f>SUM(F155:F157)</f>
        <v>0</v>
      </c>
      <c r="G154" s="179" t="e">
        <f t="shared" si="2"/>
        <v>#DIV/0!</v>
      </c>
    </row>
    <row r="155" spans="1:8" x14ac:dyDescent="0.2">
      <c r="A155" s="10"/>
      <c r="B155" s="21"/>
      <c r="C155" s="22" t="s">
        <v>1225</v>
      </c>
      <c r="D155" s="23"/>
      <c r="E155" s="208"/>
      <c r="F155" s="208"/>
      <c r="G155" s="12" t="e">
        <f t="shared" si="2"/>
        <v>#DIV/0!</v>
      </c>
      <c r="H155" s="356" t="s">
        <v>1222</v>
      </c>
    </row>
    <row r="156" spans="1:8" x14ac:dyDescent="0.2">
      <c r="A156" s="24"/>
      <c r="B156" s="21"/>
      <c r="C156" s="22" t="s">
        <v>1226</v>
      </c>
      <c r="D156" s="23"/>
      <c r="E156" s="208"/>
      <c r="F156" s="208"/>
      <c r="G156" s="12" t="e">
        <f t="shared" si="2"/>
        <v>#DIV/0!</v>
      </c>
      <c r="H156" s="356" t="s">
        <v>1223</v>
      </c>
    </row>
    <row r="157" spans="1:8" x14ac:dyDescent="0.2">
      <c r="A157" s="24"/>
      <c r="B157" s="21"/>
      <c r="C157" s="22" t="s">
        <v>1227</v>
      </c>
      <c r="D157" s="23"/>
      <c r="E157" s="208"/>
      <c r="F157" s="219"/>
      <c r="G157" s="12" t="e">
        <f t="shared" si="2"/>
        <v>#DIV/0!</v>
      </c>
      <c r="H157" s="356" t="s">
        <v>1224</v>
      </c>
    </row>
    <row r="158" spans="1:8" x14ac:dyDescent="0.2">
      <c r="A158" s="156"/>
      <c r="B158" s="159">
        <v>2.8</v>
      </c>
      <c r="C158" s="160" t="s">
        <v>49</v>
      </c>
      <c r="D158" s="161"/>
      <c r="E158" s="158">
        <f>SUM(E159:E160)</f>
        <v>0</v>
      </c>
      <c r="F158" s="158">
        <f>SUM(F159:F160)</f>
        <v>0</v>
      </c>
      <c r="G158" s="179" t="e">
        <f t="shared" si="2"/>
        <v>#DIV/0!</v>
      </c>
    </row>
    <row r="159" spans="1:8" x14ac:dyDescent="0.2">
      <c r="A159" s="213"/>
      <c r="B159" s="214"/>
      <c r="C159" s="215" t="s">
        <v>1228</v>
      </c>
      <c r="D159" s="215"/>
      <c r="E159" s="216"/>
      <c r="F159" s="394"/>
      <c r="G159" s="16" t="e">
        <f t="shared" si="2"/>
        <v>#DIV/0!</v>
      </c>
      <c r="H159" s="356" t="s">
        <v>1229</v>
      </c>
    </row>
    <row r="160" spans="1:8" x14ac:dyDescent="0.2">
      <c r="A160" s="25"/>
      <c r="B160" s="26"/>
      <c r="C160" s="23" t="s">
        <v>49</v>
      </c>
      <c r="D160" s="23"/>
      <c r="E160" s="6"/>
      <c r="F160" s="6"/>
      <c r="G160" s="12" t="e">
        <f t="shared" si="2"/>
        <v>#DIV/0!</v>
      </c>
      <c r="H160" s="356" t="s">
        <v>1231</v>
      </c>
    </row>
    <row r="161" spans="1:8" x14ac:dyDescent="0.2">
      <c r="A161" s="149">
        <v>3</v>
      </c>
      <c r="B161" s="162" t="s">
        <v>840</v>
      </c>
      <c r="C161" s="143"/>
      <c r="D161" s="143"/>
      <c r="E161" s="155">
        <f>SUM(E162:E164)</f>
        <v>0</v>
      </c>
      <c r="F161" s="155">
        <f>SUM(F162:F164)</f>
        <v>0</v>
      </c>
      <c r="G161" s="174" t="e">
        <f t="shared" si="2"/>
        <v>#DIV/0!</v>
      </c>
    </row>
    <row r="162" spans="1:8" x14ac:dyDescent="0.2">
      <c r="A162" s="172"/>
      <c r="B162" s="173"/>
      <c r="C162" s="173" t="s">
        <v>841</v>
      </c>
      <c r="D162" s="173"/>
      <c r="E162" s="6"/>
      <c r="F162" s="6"/>
      <c r="G162" s="181" t="e">
        <f t="shared" si="2"/>
        <v>#DIV/0!</v>
      </c>
      <c r="H162" s="356" t="s">
        <v>1232</v>
      </c>
    </row>
    <row r="163" spans="1:8" x14ac:dyDescent="0.2">
      <c r="A163" s="33"/>
      <c r="B163" s="34"/>
      <c r="C163" s="34" t="s">
        <v>842</v>
      </c>
      <c r="D163" s="34"/>
      <c r="E163" s="6"/>
      <c r="F163" s="6"/>
      <c r="G163" s="12" t="e">
        <f t="shared" si="2"/>
        <v>#DIV/0!</v>
      </c>
      <c r="H163" s="356" t="s">
        <v>1230</v>
      </c>
    </row>
    <row r="164" spans="1:8" x14ac:dyDescent="0.2">
      <c r="A164" s="33"/>
      <c r="B164" s="34"/>
      <c r="C164" s="34" t="s">
        <v>843</v>
      </c>
      <c r="D164" s="34"/>
      <c r="E164" s="6"/>
      <c r="F164" s="6"/>
      <c r="G164" s="12" t="e">
        <f t="shared" si="2"/>
        <v>#DIV/0!</v>
      </c>
      <c r="H164" s="356" t="s">
        <v>1233</v>
      </c>
    </row>
    <row r="165" spans="1:8" x14ac:dyDescent="0.2">
      <c r="A165" s="163">
        <v>4</v>
      </c>
      <c r="B165" s="164" t="s">
        <v>844</v>
      </c>
      <c r="C165" s="164"/>
      <c r="D165" s="164"/>
      <c r="E165" s="155"/>
      <c r="F165" s="155"/>
      <c r="G165" s="174" t="e">
        <f t="shared" si="2"/>
        <v>#DIV/0!</v>
      </c>
      <c r="H165" s="356" t="s">
        <v>1234</v>
      </c>
    </row>
    <row r="166" spans="1:8" x14ac:dyDescent="0.2">
      <c r="A166" s="196"/>
      <c r="B166" s="197"/>
      <c r="C166" s="198"/>
      <c r="D166" s="199" t="s">
        <v>77</v>
      </c>
      <c r="E166" s="200">
        <f>SUM(E113,E91,E161,E165)</f>
        <v>0</v>
      </c>
      <c r="F166" s="200">
        <f>SUM(F113,F91,F161,F165)</f>
        <v>0</v>
      </c>
      <c r="G166" s="201" t="e">
        <f t="shared" si="2"/>
        <v>#DIV/0!</v>
      </c>
    </row>
    <row r="167" spans="1:8" x14ac:dyDescent="0.2">
      <c r="A167" s="301"/>
      <c r="B167" s="303" t="s">
        <v>1236</v>
      </c>
      <c r="C167" s="302"/>
      <c r="D167" s="303"/>
      <c r="E167" s="304">
        <f>E89-E166</f>
        <v>0</v>
      </c>
      <c r="F167" s="304">
        <f>F89-F166</f>
        <v>0</v>
      </c>
      <c r="G167" s="304"/>
      <c r="H167" s="358"/>
    </row>
    <row r="168" spans="1:8" x14ac:dyDescent="0.2">
      <c r="A168" s="298"/>
      <c r="B168" s="303" t="s">
        <v>810</v>
      </c>
      <c r="C168" s="299"/>
      <c r="D168" s="303"/>
      <c r="E168" s="300">
        <f>(E89-E15-E37)-(E166-E161)</f>
        <v>0</v>
      </c>
      <c r="F168" s="300">
        <f>(F89-F15-F37)-(F166-F161)</f>
        <v>0</v>
      </c>
      <c r="G168" s="300"/>
    </row>
  </sheetData>
  <sheetProtection selectLockedCells="1"/>
  <autoFilter ref="A1:H167" xr:uid="{00000000-0009-0000-0000-000000000000}">
    <filterColumn colId="1" showButton="0"/>
    <filterColumn colId="2" showButton="0"/>
  </autoFilter>
  <mergeCells count="3">
    <mergeCell ref="B1:D1"/>
    <mergeCell ref="H5:H9"/>
    <mergeCell ref="H11:H13"/>
  </mergeCells>
  <phoneticPr fontId="47" type="noConversion"/>
  <pageMargins left="0.11811023622047245" right="0.11811023622047245" top="0.55118110236220474" bottom="0.55118110236220474" header="0.11811023622047245" footer="0.11811023622047245"/>
  <pageSetup paperSize="9" scale="9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Z76"/>
  <sheetViews>
    <sheetView zoomScale="70" zoomScaleNormal="70" workbookViewId="0">
      <pane xSplit="3" ySplit="22" topLeftCell="D23" activePane="bottomRight" state="frozen"/>
      <selection activeCell="E102" sqref="E102"/>
      <selection pane="topRight" activeCell="E102" sqref="E102"/>
      <selection pane="bottomLeft" activeCell="E102" sqref="E102"/>
      <selection pane="bottomRight" activeCell="E102" sqref="E102"/>
    </sheetView>
  </sheetViews>
  <sheetFormatPr defaultColWidth="9.125" defaultRowHeight="21" x14ac:dyDescent="0.35"/>
  <cols>
    <col min="1" max="1" width="21.5" style="348" customWidth="1"/>
    <col min="2" max="2" width="69.375" style="270" customWidth="1"/>
    <col min="3" max="3" width="28.625" style="270" customWidth="1"/>
    <col min="4" max="4" width="33" style="270" bestFit="1" customWidth="1"/>
    <col min="5" max="5" width="43.875" style="270" customWidth="1"/>
    <col min="6" max="6" width="9.125" style="270"/>
    <col min="7" max="7" width="6.375" style="264" customWidth="1"/>
    <col min="8" max="8" width="18.625" style="264" customWidth="1"/>
    <col min="9" max="9" width="16.125" style="264" customWidth="1"/>
    <col min="10" max="10" width="38.125" style="264" customWidth="1"/>
    <col min="11" max="11" width="72.375" style="264" customWidth="1"/>
    <col min="12" max="12" width="9.125" style="270" customWidth="1"/>
    <col min="13" max="16384" width="9.125" style="270"/>
  </cols>
  <sheetData>
    <row r="1" spans="1:26" x14ac:dyDescent="0.35">
      <c r="Z1" s="270" t="s">
        <v>1423</v>
      </c>
    </row>
    <row r="2" spans="1:26" hidden="1" x14ac:dyDescent="0.35">
      <c r="A2" s="256" t="s">
        <v>773</v>
      </c>
      <c r="B2" s="293" t="s">
        <v>789</v>
      </c>
      <c r="C2" s="265">
        <f>ประมาณการรายได้!F55-ประมาณการรายได้!F30</f>
        <v>0</v>
      </c>
      <c r="G2" s="270"/>
      <c r="H2" s="270"/>
      <c r="I2" s="270"/>
      <c r="J2" s="270"/>
      <c r="K2" s="270"/>
    </row>
    <row r="3" spans="1:26" hidden="1" x14ac:dyDescent="0.35">
      <c r="A3" s="256" t="s">
        <v>774</v>
      </c>
      <c r="B3" s="293" t="s">
        <v>790</v>
      </c>
      <c r="C3" s="265">
        <f>ประมาณการรายจ่าย!F62-ประมาณการรายจ่าย!F60</f>
        <v>0</v>
      </c>
      <c r="G3" s="270"/>
      <c r="H3" s="270"/>
      <c r="I3" s="270"/>
      <c r="J3" s="270"/>
      <c r="K3" s="270"/>
    </row>
    <row r="4" spans="1:26" x14ac:dyDescent="0.35">
      <c r="A4" s="256" t="s">
        <v>775</v>
      </c>
      <c r="B4" s="293" t="s">
        <v>791</v>
      </c>
      <c r="C4" s="265">
        <f>SUM(C2-C3)</f>
        <v>0</v>
      </c>
      <c r="G4" s="270"/>
      <c r="H4" s="270"/>
      <c r="I4" s="270"/>
      <c r="J4" s="270"/>
      <c r="K4" s="270"/>
      <c r="Z4" s="270" t="s">
        <v>1424</v>
      </c>
    </row>
    <row r="5" spans="1:26" hidden="1" x14ac:dyDescent="0.35">
      <c r="A5" s="256" t="s">
        <v>776</v>
      </c>
      <c r="B5" s="293" t="s">
        <v>792</v>
      </c>
      <c r="C5" s="350" t="str">
        <f>IF(C4&gt;0,"เกินดุล",IF(C4=0,"สมดุล","ขาดดุล"))</f>
        <v>สมดุล</v>
      </c>
      <c r="G5" s="270"/>
      <c r="H5" s="270"/>
      <c r="I5" s="270"/>
      <c r="J5" s="270"/>
      <c r="K5" s="270"/>
    </row>
    <row r="6" spans="1:26" hidden="1" x14ac:dyDescent="0.35">
      <c r="A6" s="347" t="s">
        <v>777</v>
      </c>
      <c r="B6" s="293" t="s">
        <v>793</v>
      </c>
      <c r="C6" s="265">
        <f>IF(C4&lt;=0,0,ROUNDUP((C4*20%),2))</f>
        <v>0</v>
      </c>
      <c r="G6" s="270"/>
      <c r="H6" s="270"/>
      <c r="I6" s="270"/>
      <c r="J6" s="270"/>
      <c r="K6" s="270"/>
    </row>
    <row r="7" spans="1:26" x14ac:dyDescent="0.35">
      <c r="A7" s="256" t="s">
        <v>778</v>
      </c>
      <c r="B7" s="293" t="s">
        <v>794</v>
      </c>
      <c r="C7" s="265">
        <f>กรอกเพิ่ม!C44</f>
        <v>0</v>
      </c>
      <c r="G7" s="270"/>
      <c r="H7" s="270"/>
      <c r="I7" s="270"/>
      <c r="J7" s="270"/>
      <c r="K7" s="270"/>
      <c r="Z7" s="270" t="s">
        <v>1425</v>
      </c>
    </row>
    <row r="8" spans="1:26" hidden="1" x14ac:dyDescent="0.35">
      <c r="A8" s="256" t="s">
        <v>779</v>
      </c>
      <c r="B8" s="294" t="s">
        <v>795</v>
      </c>
      <c r="C8" s="351">
        <f>IF(C4=0,0,(C7/C4)*100)</f>
        <v>0</v>
      </c>
      <c r="G8" s="270"/>
      <c r="H8" s="270"/>
      <c r="I8" s="270"/>
      <c r="J8" s="270"/>
      <c r="K8" s="270"/>
    </row>
    <row r="9" spans="1:26" hidden="1" x14ac:dyDescent="0.35">
      <c r="A9" s="256" t="s">
        <v>780</v>
      </c>
      <c r="B9" s="293" t="s">
        <v>796</v>
      </c>
      <c r="C9" s="265">
        <f>C6-C7</f>
        <v>0</v>
      </c>
      <c r="G9" s="270"/>
      <c r="H9" s="270"/>
      <c r="I9" s="270"/>
      <c r="J9" s="270"/>
      <c r="K9" s="270"/>
    </row>
    <row r="10" spans="1:26" x14ac:dyDescent="0.35">
      <c r="A10" s="256" t="s">
        <v>781</v>
      </c>
      <c r="B10" s="258" t="s">
        <v>1086</v>
      </c>
      <c r="C10" s="265">
        <f>กรอกเพิ่ม!C3</f>
        <v>0</v>
      </c>
      <c r="G10" s="270"/>
      <c r="H10" s="270"/>
      <c r="I10" s="270"/>
      <c r="J10" s="270"/>
      <c r="K10" s="270"/>
      <c r="Z10" s="270" t="s">
        <v>1426</v>
      </c>
    </row>
    <row r="11" spans="1:26" hidden="1" x14ac:dyDescent="0.35">
      <c r="A11" s="257" t="s">
        <v>782</v>
      </c>
      <c r="B11" s="258" t="s">
        <v>1087</v>
      </c>
      <c r="C11" s="265">
        <f>กรอกเพิ่ม!C5</f>
        <v>0</v>
      </c>
      <c r="G11" s="270"/>
      <c r="H11" s="270"/>
      <c r="I11" s="270"/>
      <c r="J11" s="270"/>
      <c r="K11" s="270"/>
    </row>
    <row r="12" spans="1:26" hidden="1" x14ac:dyDescent="0.35">
      <c r="A12" s="257" t="s">
        <v>783</v>
      </c>
      <c r="B12" s="259" t="s">
        <v>797</v>
      </c>
      <c r="C12" s="351">
        <f>SUM(C3/12)</f>
        <v>0</v>
      </c>
      <c r="G12" s="270"/>
      <c r="H12" s="270"/>
      <c r="I12" s="270"/>
      <c r="J12" s="270"/>
      <c r="K12" s="270"/>
    </row>
    <row r="13" spans="1:26" x14ac:dyDescent="0.35">
      <c r="A13" s="257" t="s">
        <v>784</v>
      </c>
      <c r="B13" s="258" t="s">
        <v>798</v>
      </c>
      <c r="C13" s="265" t="e">
        <f>C10/C12</f>
        <v>#DIV/0!</v>
      </c>
      <c r="G13" s="270"/>
      <c r="H13" s="270"/>
      <c r="I13" s="270"/>
      <c r="J13" s="270"/>
      <c r="K13" s="270"/>
      <c r="Z13" s="270" t="s">
        <v>1427</v>
      </c>
    </row>
    <row r="14" spans="1:26" hidden="1" x14ac:dyDescent="0.35">
      <c r="A14" s="257" t="s">
        <v>785</v>
      </c>
      <c r="B14" s="260" t="s">
        <v>799</v>
      </c>
      <c r="C14" s="352">
        <f>SUM(C9:C10)</f>
        <v>0</v>
      </c>
      <c r="G14" s="270"/>
      <c r="H14" s="270"/>
      <c r="I14" s="270"/>
      <c r="J14" s="270"/>
      <c r="K14" s="270"/>
    </row>
    <row r="15" spans="1:26" hidden="1" x14ac:dyDescent="0.35">
      <c r="B15" s="258" t="s">
        <v>800</v>
      </c>
      <c r="C15" s="353" t="e">
        <f>SUM(C14/C12)*100</f>
        <v>#DIV/0!</v>
      </c>
    </row>
    <row r="16" spans="1:26" ht="22.5" x14ac:dyDescent="0.35">
      <c r="A16" s="257" t="s">
        <v>786</v>
      </c>
      <c r="B16" s="258" t="s">
        <v>801</v>
      </c>
      <c r="C16" s="266" t="str">
        <f>IF(C4&gt;=0, "Normal", "Risk")</f>
        <v>Normal</v>
      </c>
      <c r="Z16" s="270" t="s">
        <v>1428</v>
      </c>
    </row>
    <row r="17" spans="1:26" ht="22.5" hidden="1" x14ac:dyDescent="0.35">
      <c r="A17" s="257" t="s">
        <v>787</v>
      </c>
      <c r="B17" s="261" t="s">
        <v>802</v>
      </c>
      <c r="C17" s="266" t="str">
        <f>IF(C9&gt;=0, "Normal", "Risk")</f>
        <v>Normal</v>
      </c>
    </row>
    <row r="18" spans="1:26" ht="22.5" hidden="1" x14ac:dyDescent="0.35">
      <c r="A18" s="257" t="s">
        <v>788</v>
      </c>
      <c r="B18" s="261" t="s">
        <v>803</v>
      </c>
      <c r="C18" s="267" t="e">
        <f>IF(C15&gt;1, "Normal", "Risk")</f>
        <v>#DIV/0!</v>
      </c>
    </row>
    <row r="19" spans="1:26" x14ac:dyDescent="0.35">
      <c r="B19" s="262" t="s">
        <v>804</v>
      </c>
      <c r="C19" s="268" t="e">
        <f>IF(AND(C16="Normal",C17="Normal",C18="Normal"),1,IF(AND(C16="Normal",C17="Normal",C18="Risk"),2,IF(AND(C16="Normal",C17="Risk",C18="Normal"),3,IF(AND(C16="Normal",C17="Risk",C18="Risk"),4,IF(AND(C16="Risk",C17="Normal",C18="Normal"),5,IF(AND(C16="Risk",C17="Normal",C18="Risk"),6,IF(AND(C16="Risk",C17="Risk",C18="Normal"),7,IF(AND(C16="Risk",C17="Risk",C18="Risk"),8,"Unknows"))))))))</f>
        <v>#DIV/0!</v>
      </c>
      <c r="Z19" s="270" t="s">
        <v>1429</v>
      </c>
    </row>
    <row r="20" spans="1:26" hidden="1" x14ac:dyDescent="0.35">
      <c r="B20" s="263" t="s">
        <v>805</v>
      </c>
      <c r="C20" s="269" t="e">
        <f>VLOOKUP(C19,$A$30:$E$37,5,0)</f>
        <v>#DIV/0!</v>
      </c>
    </row>
    <row r="21" spans="1:26" hidden="1" x14ac:dyDescent="0.35"/>
    <row r="22" spans="1:26" ht="113.25" customHeight="1" x14ac:dyDescent="0.35">
      <c r="Z22" s="270" t="s">
        <v>1430</v>
      </c>
    </row>
    <row r="23" spans="1:26" hidden="1" x14ac:dyDescent="0.35"/>
    <row r="24" spans="1:26" hidden="1" x14ac:dyDescent="0.35"/>
    <row r="25" spans="1:26" x14ac:dyDescent="0.35">
      <c r="A25" s="349"/>
      <c r="B25" s="271" t="s">
        <v>806</v>
      </c>
      <c r="C25" s="271" t="s">
        <v>807</v>
      </c>
      <c r="D25" s="271" t="s">
        <v>808</v>
      </c>
      <c r="E25" s="271"/>
      <c r="Z25" s="270" t="s">
        <v>1431</v>
      </c>
    </row>
    <row r="26" spans="1:26" ht="37.5" hidden="1" x14ac:dyDescent="0.35">
      <c r="A26" s="272" t="s">
        <v>809</v>
      </c>
      <c r="B26" s="272" t="s">
        <v>810</v>
      </c>
      <c r="C26" s="272" t="s">
        <v>811</v>
      </c>
      <c r="D26" s="272" t="s">
        <v>812</v>
      </c>
      <c r="E26" s="525" t="s">
        <v>805</v>
      </c>
    </row>
    <row r="27" spans="1:26" hidden="1" x14ac:dyDescent="0.35">
      <c r="A27" s="273" t="s">
        <v>813</v>
      </c>
      <c r="B27" s="274" t="s">
        <v>814</v>
      </c>
      <c r="C27" s="273" t="s">
        <v>815</v>
      </c>
      <c r="D27" s="274" t="s">
        <v>816</v>
      </c>
      <c r="E27" s="526"/>
    </row>
    <row r="28" spans="1:26" ht="21.75" thickBot="1" x14ac:dyDescent="0.4">
      <c r="A28" s="275"/>
      <c r="B28" s="274" t="s">
        <v>817</v>
      </c>
      <c r="C28" s="276" t="s">
        <v>818</v>
      </c>
      <c r="D28" s="276" t="s">
        <v>819</v>
      </c>
      <c r="E28" s="526"/>
      <c r="Z28" s="270" t="s">
        <v>1432</v>
      </c>
    </row>
    <row r="29" spans="1:26" ht="21.75" hidden="1" thickBot="1" x14ac:dyDescent="0.4">
      <c r="A29" s="277"/>
      <c r="B29" s="277"/>
      <c r="C29" s="278" t="s">
        <v>820</v>
      </c>
      <c r="D29" s="277"/>
      <c r="E29" s="527"/>
    </row>
    <row r="30" spans="1:26" ht="22.5" hidden="1" thickTop="1" thickBot="1" x14ac:dyDescent="0.4">
      <c r="A30" s="279">
        <v>1</v>
      </c>
      <c r="B30" s="279" t="s">
        <v>821</v>
      </c>
      <c r="C30" s="279" t="s">
        <v>822</v>
      </c>
      <c r="D30" s="279" t="s">
        <v>823</v>
      </c>
      <c r="E30" s="280" t="s">
        <v>824</v>
      </c>
    </row>
    <row r="31" spans="1:26" ht="21.75" thickBot="1" x14ac:dyDescent="0.4">
      <c r="A31" s="281">
        <v>2</v>
      </c>
      <c r="B31" s="281" t="s">
        <v>821</v>
      </c>
      <c r="C31" s="281" t="s">
        <v>822</v>
      </c>
      <c r="D31" s="282" t="s">
        <v>825</v>
      </c>
      <c r="E31" s="283" t="s">
        <v>826</v>
      </c>
      <c r="Z31" s="270" t="s">
        <v>1433</v>
      </c>
    </row>
    <row r="32" spans="1:26" ht="21.75" hidden="1" thickBot="1" x14ac:dyDescent="0.4">
      <c r="A32" s="284">
        <v>3</v>
      </c>
      <c r="B32" s="284" t="s">
        <v>821</v>
      </c>
      <c r="C32" s="284" t="s">
        <v>827</v>
      </c>
      <c r="D32" s="284" t="s">
        <v>823</v>
      </c>
      <c r="E32" s="285" t="s">
        <v>828</v>
      </c>
    </row>
    <row r="33" spans="1:26" ht="21.75" hidden="1" thickBot="1" x14ac:dyDescent="0.4">
      <c r="A33" s="286">
        <v>4</v>
      </c>
      <c r="B33" s="286" t="s">
        <v>821</v>
      </c>
      <c r="C33" s="286" t="s">
        <v>827</v>
      </c>
      <c r="D33" s="287" t="s">
        <v>825</v>
      </c>
      <c r="E33" s="288" t="s">
        <v>829</v>
      </c>
    </row>
    <row r="34" spans="1:26" ht="21.75" thickBot="1" x14ac:dyDescent="0.4">
      <c r="A34" s="289">
        <v>5</v>
      </c>
      <c r="B34" s="290" t="s">
        <v>825</v>
      </c>
      <c r="C34" s="290" t="s">
        <v>830</v>
      </c>
      <c r="D34" s="289" t="s">
        <v>823</v>
      </c>
      <c r="E34" s="291" t="s">
        <v>831</v>
      </c>
      <c r="Z34" s="270" t="s">
        <v>1434</v>
      </c>
    </row>
    <row r="35" spans="1:26" ht="21.75" hidden="1" thickBot="1" x14ac:dyDescent="0.4">
      <c r="A35" s="286">
        <v>6</v>
      </c>
      <c r="B35" s="287" t="s">
        <v>825</v>
      </c>
      <c r="C35" s="287" t="s">
        <v>830</v>
      </c>
      <c r="D35" s="287" t="s">
        <v>832</v>
      </c>
      <c r="E35" s="288" t="s">
        <v>833</v>
      </c>
    </row>
    <row r="36" spans="1:26" ht="21.75" hidden="1" thickBot="1" x14ac:dyDescent="0.4">
      <c r="A36" s="284">
        <v>7</v>
      </c>
      <c r="B36" s="292" t="s">
        <v>825</v>
      </c>
      <c r="C36" s="292" t="s">
        <v>832</v>
      </c>
      <c r="D36" s="284" t="s">
        <v>823</v>
      </c>
      <c r="E36" s="285" t="s">
        <v>834</v>
      </c>
    </row>
    <row r="37" spans="1:26" x14ac:dyDescent="0.35">
      <c r="A37" s="286">
        <v>8</v>
      </c>
      <c r="B37" s="287" t="s">
        <v>825</v>
      </c>
      <c r="C37" s="287" t="s">
        <v>832</v>
      </c>
      <c r="D37" s="287" t="s">
        <v>825</v>
      </c>
      <c r="E37" s="288" t="s">
        <v>835</v>
      </c>
      <c r="Z37" s="270" t="s">
        <v>1435</v>
      </c>
    </row>
    <row r="38" spans="1:26" hidden="1" x14ac:dyDescent="0.35"/>
    <row r="39" spans="1:26" hidden="1" x14ac:dyDescent="0.35"/>
    <row r="40" spans="1:26" x14ac:dyDescent="0.35">
      <c r="Z40" s="270" t="s">
        <v>1436</v>
      </c>
    </row>
    <row r="41" spans="1:26" hidden="1" x14ac:dyDescent="0.35"/>
    <row r="42" spans="1:26" hidden="1" x14ac:dyDescent="0.35"/>
    <row r="43" spans="1:26" x14ac:dyDescent="0.35">
      <c r="Z43" s="270" t="s">
        <v>1437</v>
      </c>
    </row>
    <row r="44" spans="1:26" hidden="1" x14ac:dyDescent="0.35"/>
    <row r="45" spans="1:26" hidden="1" x14ac:dyDescent="0.35"/>
    <row r="46" spans="1:26" x14ac:dyDescent="0.35">
      <c r="Z46" s="270" t="s">
        <v>1438</v>
      </c>
    </row>
    <row r="47" spans="1:26" hidden="1" x14ac:dyDescent="0.35"/>
    <row r="48" spans="1:26" hidden="1" x14ac:dyDescent="0.35"/>
    <row r="49" spans="26:26" x14ac:dyDescent="0.35">
      <c r="Z49" s="270" t="s">
        <v>1439</v>
      </c>
    </row>
    <row r="50" spans="26:26" hidden="1" x14ac:dyDescent="0.35"/>
    <row r="51" spans="26:26" hidden="1" x14ac:dyDescent="0.35"/>
    <row r="52" spans="26:26" x14ac:dyDescent="0.35">
      <c r="Z52" s="270" t="s">
        <v>1440</v>
      </c>
    </row>
    <row r="53" spans="26:26" hidden="1" x14ac:dyDescent="0.35"/>
    <row r="54" spans="26:26" hidden="1" x14ac:dyDescent="0.35"/>
    <row r="55" spans="26:26" x14ac:dyDescent="0.35">
      <c r="Z55" s="270" t="s">
        <v>1441</v>
      </c>
    </row>
    <row r="56" spans="26:26" hidden="1" x14ac:dyDescent="0.35"/>
    <row r="57" spans="26:26" hidden="1" x14ac:dyDescent="0.35"/>
    <row r="58" spans="26:26" x14ac:dyDescent="0.35">
      <c r="Z58" s="270" t="s">
        <v>1442</v>
      </c>
    </row>
    <row r="59" spans="26:26" hidden="1" x14ac:dyDescent="0.35"/>
    <row r="60" spans="26:26" hidden="1" x14ac:dyDescent="0.35"/>
    <row r="61" spans="26:26" x14ac:dyDescent="0.35">
      <c r="Z61" s="270" t="s">
        <v>1443</v>
      </c>
    </row>
    <row r="62" spans="26:26" hidden="1" x14ac:dyDescent="0.35"/>
    <row r="63" spans="26:26" hidden="1" x14ac:dyDescent="0.35"/>
    <row r="64" spans="26:26" x14ac:dyDescent="0.35">
      <c r="Z64" s="270" t="s">
        <v>1444</v>
      </c>
    </row>
    <row r="65" spans="26:26" hidden="1" x14ac:dyDescent="0.35"/>
    <row r="66" spans="26:26" hidden="1" x14ac:dyDescent="0.35"/>
    <row r="67" spans="26:26" x14ac:dyDescent="0.35">
      <c r="Z67" s="270" t="s">
        <v>1445</v>
      </c>
    </row>
    <row r="68" spans="26:26" hidden="1" x14ac:dyDescent="0.35"/>
    <row r="69" spans="26:26" hidden="1" x14ac:dyDescent="0.35"/>
    <row r="70" spans="26:26" x14ac:dyDescent="0.35">
      <c r="Z70" s="270" t="s">
        <v>1446</v>
      </c>
    </row>
    <row r="71" spans="26:26" hidden="1" x14ac:dyDescent="0.35"/>
    <row r="72" spans="26:26" hidden="1" x14ac:dyDescent="0.35"/>
    <row r="73" spans="26:26" x14ac:dyDescent="0.35">
      <c r="Z73" s="270" t="s">
        <v>1447</v>
      </c>
    </row>
    <row r="74" spans="26:26" hidden="1" x14ac:dyDescent="0.35"/>
    <row r="75" spans="26:26" hidden="1" x14ac:dyDescent="0.35"/>
    <row r="76" spans="26:26" x14ac:dyDescent="0.35">
      <c r="Z76" s="270" t="s">
        <v>1448</v>
      </c>
    </row>
  </sheetData>
  <autoFilter ref="Z1:Z76" xr:uid="{00000000-0009-0000-0000-000009000000}">
    <filterColumn colId="0">
      <customFilters>
        <customFilter operator="notEqual" val=" "/>
      </customFilters>
    </filterColumn>
  </autoFilter>
  <mergeCells count="1">
    <mergeCell ref="E26:E29"/>
  </mergeCells>
  <conditionalFormatting sqref="A5:C5">
    <cfRule type="containsText" dxfId="16" priority="1" operator="containsText" text="เกินดุล">
      <formula>NOT(ISERROR(SEARCH("เกินดุล",A5)))</formula>
    </cfRule>
    <cfRule type="containsText" dxfId="15" priority="2" operator="containsText" text="สมดุล">
      <formula>NOT(ISERROR(SEARCH("สมดุล",A5)))</formula>
    </cfRule>
    <cfRule type="containsText" dxfId="14" priority="3" operator="containsText" text="ขาดดุล">
      <formula>NOT(ISERROR(SEARCH("ขาดดุล",A5)))</formula>
    </cfRule>
    <cfRule type="containsText" dxfId="13" priority="4" operator="containsText" text="สมดุล">
      <formula>NOT(ISERROR(SEARCH("สมดุล",A5)))</formula>
    </cfRule>
  </conditionalFormatting>
  <conditionalFormatting sqref="C9">
    <cfRule type="cellIs" dxfId="12" priority="14" operator="lessThan">
      <formula>0</formula>
    </cfRule>
  </conditionalFormatting>
  <conditionalFormatting sqref="C19">
    <cfRule type="cellIs" dxfId="11" priority="5" operator="equal">
      <formula>8</formula>
    </cfRule>
    <cfRule type="cellIs" dxfId="10" priority="6" operator="equal">
      <formula>7</formula>
    </cfRule>
    <cfRule type="cellIs" dxfId="9" priority="7" operator="equal">
      <formula>6</formula>
    </cfRule>
    <cfRule type="cellIs" dxfId="8" priority="8" operator="equal">
      <formula>5</formula>
    </cfRule>
    <cfRule type="cellIs" dxfId="7" priority="9" operator="equal">
      <formula>4</formula>
    </cfRule>
    <cfRule type="cellIs" dxfId="6" priority="10" operator="equal">
      <formula>3</formula>
    </cfRule>
    <cfRule type="cellIs" dxfId="5" priority="11" operator="equal">
      <formula>2</formula>
    </cfRule>
    <cfRule type="cellIs" dxfId="4" priority="12" operator="equal">
      <formula>1</formula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24 E38:E1048576">
    <cfRule type="containsText" dxfId="3" priority="15" operator="containsText" text="เกินดุล">
      <formula>NOT(ISERROR(SEARCH("เกินดุล",E3)))</formula>
    </cfRule>
    <cfRule type="containsText" dxfId="2" priority="16" operator="containsText" text="สมดุล">
      <formula>NOT(ISERROR(SEARCH("สมดุล",E3)))</formula>
    </cfRule>
    <cfRule type="containsText" dxfId="1" priority="17" operator="containsText" text="ขาดดุล">
      <formula>NOT(ISERROR(SEARCH("ขาดดุล",E3)))</formula>
    </cfRule>
    <cfRule type="containsText" dxfId="0" priority="18" operator="containsText" text="สมดุล">
      <formula>NOT(ISERROR(SEARCH("สมดุล",E3)))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I98"/>
  <sheetViews>
    <sheetView workbookViewId="0">
      <selection activeCell="E102" sqref="E102"/>
    </sheetView>
  </sheetViews>
  <sheetFormatPr defaultRowHeight="14.25" x14ac:dyDescent="0.2"/>
  <cols>
    <col min="1" max="1" width="5.625" style="84" customWidth="1"/>
    <col min="2" max="2" width="2.375" style="84" customWidth="1"/>
    <col min="3" max="3" width="2" style="84" customWidth="1"/>
    <col min="4" max="4" width="36.75" style="84" customWidth="1"/>
    <col min="5" max="5" width="18.125" style="85" customWidth="1"/>
    <col min="6" max="6" width="19.375" style="85" customWidth="1"/>
    <col min="7" max="7" width="18.375" style="85" customWidth="1"/>
    <col min="8" max="8" width="17.625" style="396" bestFit="1" customWidth="1"/>
    <col min="9" max="9" width="23.125" style="396" bestFit="1" customWidth="1"/>
  </cols>
  <sheetData>
    <row r="1" spans="1:9" x14ac:dyDescent="0.2">
      <c r="A1" s="528" t="s">
        <v>1449</v>
      </c>
      <c r="B1" s="528"/>
      <c r="C1" s="528"/>
      <c r="D1" s="528"/>
      <c r="E1" s="528"/>
      <c r="F1" s="528"/>
      <c r="G1"/>
    </row>
    <row r="2" spans="1:9" x14ac:dyDescent="0.2">
      <c r="A2" s="528" t="s">
        <v>1468</v>
      </c>
      <c r="B2" s="528"/>
      <c r="C2" s="528"/>
      <c r="D2" s="528"/>
      <c r="E2" s="528"/>
      <c r="F2" s="528"/>
      <c r="G2"/>
    </row>
    <row r="3" spans="1:9" x14ac:dyDescent="0.2">
      <c r="A3" s="399" t="s">
        <v>0</v>
      </c>
      <c r="B3" s="501" t="s">
        <v>1</v>
      </c>
      <c r="C3" s="502"/>
      <c r="D3" s="503"/>
      <c r="E3" s="400" t="s">
        <v>1469</v>
      </c>
      <c r="F3" s="400" t="s">
        <v>1470</v>
      </c>
      <c r="G3"/>
      <c r="H3" s="432" t="s">
        <v>1628</v>
      </c>
      <c r="I3" s="432" t="s">
        <v>1627</v>
      </c>
    </row>
    <row r="4" spans="1:9" x14ac:dyDescent="0.2">
      <c r="A4" s="529" t="s">
        <v>1450</v>
      </c>
      <c r="B4" s="530"/>
      <c r="C4" s="530"/>
      <c r="D4" s="531"/>
      <c r="E4" s="401"/>
      <c r="F4" s="401"/>
      <c r="G4"/>
    </row>
    <row r="5" spans="1:9" x14ac:dyDescent="0.2">
      <c r="A5" s="54">
        <v>1</v>
      </c>
      <c r="B5" s="55" t="s">
        <v>1451</v>
      </c>
      <c r="C5" s="56"/>
      <c r="D5" s="57"/>
      <c r="E5" s="305">
        <f t="shared" ref="E5" si="0">SUM(E6,E9,E11,E17,E21,E22,E27,E31)</f>
        <v>16721480.82025549</v>
      </c>
      <c r="F5" s="305">
        <f>SUM(F6,F9,F11,F17,F21,F22,F27,F31)</f>
        <v>21691096.934589017</v>
      </c>
      <c r="G5"/>
    </row>
    <row r="6" spans="1:9" x14ac:dyDescent="0.2">
      <c r="A6" s="91"/>
      <c r="B6" s="87" t="s">
        <v>1452</v>
      </c>
      <c r="C6" s="402"/>
      <c r="D6" s="89"/>
      <c r="E6" s="309">
        <f>SUM(E7:E8)</f>
        <v>10443879</v>
      </c>
      <c r="F6" s="309">
        <f>SUM(F7:F8)</f>
        <v>15350840</v>
      </c>
      <c r="G6"/>
    </row>
    <row r="7" spans="1:9" x14ac:dyDescent="0.2">
      <c r="A7" s="14"/>
      <c r="B7" s="11"/>
      <c r="C7" s="1"/>
      <c r="D7" s="11" t="s">
        <v>50</v>
      </c>
      <c r="E7" s="310">
        <f>ประมาณการรายได้!I16</f>
        <v>10443879</v>
      </c>
      <c r="F7" s="310">
        <f>ประมาณการรายได้!J16</f>
        <v>15350840</v>
      </c>
      <c r="G7" t="s">
        <v>1461</v>
      </c>
    </row>
    <row r="8" spans="1:9" x14ac:dyDescent="0.2">
      <c r="A8" s="14"/>
      <c r="B8" s="11"/>
      <c r="C8" s="1"/>
      <c r="D8" s="11" t="s">
        <v>62</v>
      </c>
      <c r="E8" s="310">
        <f>ประมาณการรายได้!I17</f>
        <v>0</v>
      </c>
      <c r="F8" s="310">
        <f>ประมาณการรายได้!J17</f>
        <v>0</v>
      </c>
      <c r="G8" t="s">
        <v>1461</v>
      </c>
    </row>
    <row r="9" spans="1:9" x14ac:dyDescent="0.2">
      <c r="A9" s="91"/>
      <c r="B9" s="87" t="s">
        <v>1453</v>
      </c>
      <c r="C9" s="402"/>
      <c r="D9" s="89"/>
      <c r="E9" s="309">
        <f>E10</f>
        <v>0</v>
      </c>
      <c r="F9" s="309">
        <f>F10</f>
        <v>0</v>
      </c>
      <c r="G9"/>
    </row>
    <row r="10" spans="1:9" x14ac:dyDescent="0.2">
      <c r="A10" s="14"/>
      <c r="B10" s="11"/>
      <c r="C10" s="1"/>
      <c r="D10" s="11" t="s">
        <v>63</v>
      </c>
      <c r="E10" s="310">
        <f>ประมาณการรายได้!E19</f>
        <v>0</v>
      </c>
      <c r="F10" s="310">
        <f>ประมาณการรายได้!F19+H10-I10</f>
        <v>0</v>
      </c>
      <c r="G10"/>
      <c r="H10" s="433"/>
      <c r="I10" s="433"/>
    </row>
    <row r="11" spans="1:9" x14ac:dyDescent="0.2">
      <c r="A11" s="91"/>
      <c r="B11" s="87" t="s">
        <v>1454</v>
      </c>
      <c r="C11" s="402"/>
      <c r="D11" s="89"/>
      <c r="E11" s="309">
        <f>SUM(E12:E16)</f>
        <v>4527528.0600000005</v>
      </c>
      <c r="F11" s="309">
        <f>SUM(F12:F16)</f>
        <v>4490092.0600000005</v>
      </c>
      <c r="G11"/>
    </row>
    <row r="12" spans="1:9" x14ac:dyDescent="0.2">
      <c r="A12" s="14"/>
      <c r="B12" s="11"/>
      <c r="C12" s="11" t="s">
        <v>1238</v>
      </c>
      <c r="D12" s="355"/>
      <c r="E12" s="310">
        <f>ประมาณการรายได้!I21</f>
        <v>1266526</v>
      </c>
      <c r="F12" s="310">
        <f>ประมาณการรายได้!J21</f>
        <v>1166580</v>
      </c>
      <c r="G12" t="s">
        <v>1461</v>
      </c>
    </row>
    <row r="13" spans="1:9" x14ac:dyDescent="0.2">
      <c r="A13" s="14"/>
      <c r="B13" s="11"/>
      <c r="C13" s="140" t="s">
        <v>1110</v>
      </c>
      <c r="D13" s="355"/>
      <c r="E13" s="310">
        <f>ประมาณการรายได้!I22</f>
        <v>3261002.06</v>
      </c>
      <c r="F13" s="310">
        <f>ประมาณการรายได้!J22</f>
        <v>3323512.06</v>
      </c>
      <c r="G13" t="s">
        <v>1461</v>
      </c>
    </row>
    <row r="14" spans="1:9" x14ac:dyDescent="0.2">
      <c r="A14" s="14"/>
      <c r="B14" s="11"/>
      <c r="C14" s="140" t="s">
        <v>1124</v>
      </c>
      <c r="D14" s="355"/>
      <c r="E14" s="310">
        <f>ประมาณการรายได้!I23</f>
        <v>0</v>
      </c>
      <c r="F14" s="310">
        <f>ประมาณการรายได้!J23</f>
        <v>0</v>
      </c>
      <c r="G14" t="s">
        <v>1461</v>
      </c>
    </row>
    <row r="15" spans="1:9" x14ac:dyDescent="0.2">
      <c r="A15" s="14"/>
      <c r="B15" s="11"/>
      <c r="C15" s="140" t="s">
        <v>1127</v>
      </c>
      <c r="D15" s="355"/>
      <c r="E15" s="310">
        <f>ประมาณการรายได้!I24</f>
        <v>0</v>
      </c>
      <c r="F15" s="310">
        <f>ประมาณการรายได้!J24</f>
        <v>0</v>
      </c>
      <c r="G15" t="s">
        <v>1461</v>
      </c>
    </row>
    <row r="16" spans="1:9" x14ac:dyDescent="0.2">
      <c r="A16" s="14"/>
      <c r="B16" s="11"/>
      <c r="C16" s="11" t="s">
        <v>154</v>
      </c>
      <c r="D16" s="355"/>
      <c r="E16" s="310">
        <f>ประมาณการรายได้!E25</f>
        <v>0</v>
      </c>
      <c r="F16" s="310">
        <f>ประมาณการรายได้!F25</f>
        <v>0</v>
      </c>
      <c r="G16"/>
    </row>
    <row r="17" spans="1:9" x14ac:dyDescent="0.2">
      <c r="A17" s="91"/>
      <c r="B17" s="402" t="s">
        <v>1455</v>
      </c>
      <c r="C17" s="402"/>
      <c r="D17" s="89"/>
      <c r="E17" s="309">
        <f>SUM(E18:E20)</f>
        <v>0</v>
      </c>
      <c r="F17" s="309">
        <f>SUM(F18:F20)</f>
        <v>0</v>
      </c>
      <c r="G17"/>
    </row>
    <row r="18" spans="1:9" x14ac:dyDescent="0.2">
      <c r="A18" s="14"/>
      <c r="B18" s="11"/>
      <c r="C18" s="140" t="s">
        <v>1113</v>
      </c>
      <c r="D18" s="11"/>
      <c r="E18" s="310">
        <f>ประมาณการรายได้!E27</f>
        <v>0</v>
      </c>
      <c r="F18" s="310">
        <f>ประมาณการรายได้!F27+H18-I18</f>
        <v>0</v>
      </c>
      <c r="G18"/>
      <c r="H18" s="433"/>
      <c r="I18" s="433"/>
    </row>
    <row r="19" spans="1:9" x14ac:dyDescent="0.2">
      <c r="A19" s="14"/>
      <c r="B19" s="11"/>
      <c r="C19" s="140" t="s">
        <v>1114</v>
      </c>
      <c r="D19" s="11"/>
      <c r="E19" s="310">
        <f>ประมาณการรายได้!E28</f>
        <v>0</v>
      </c>
      <c r="F19" s="310">
        <f>ประมาณการรายได้!F28+H19-I19</f>
        <v>0</v>
      </c>
      <c r="G19"/>
      <c r="H19" s="433"/>
      <c r="I19" s="433"/>
    </row>
    <row r="20" spans="1:9" x14ac:dyDescent="0.2">
      <c r="A20" s="14"/>
      <c r="B20" s="11"/>
      <c r="C20" s="140" t="s">
        <v>1118</v>
      </c>
      <c r="D20" s="11"/>
      <c r="E20" s="310">
        <f>ประมาณการรายได้!E29</f>
        <v>0</v>
      </c>
      <c r="F20" s="310">
        <f>ประมาณการรายได้!F29+H20-I20</f>
        <v>0</v>
      </c>
      <c r="G20"/>
      <c r="H20" s="433"/>
      <c r="I20" s="433"/>
    </row>
    <row r="21" spans="1:9" x14ac:dyDescent="0.2">
      <c r="A21" s="91"/>
      <c r="B21" s="87" t="s">
        <v>1456</v>
      </c>
      <c r="C21" s="87"/>
      <c r="D21" s="87"/>
      <c r="E21" s="309">
        <f>ประมาณการรายได้!E30</f>
        <v>0</v>
      </c>
      <c r="F21" s="309">
        <f>ประมาณการรายได้!F30</f>
        <v>0</v>
      </c>
      <c r="G21"/>
    </row>
    <row r="22" spans="1:9" x14ac:dyDescent="0.2">
      <c r="A22" s="91"/>
      <c r="B22" s="87" t="s">
        <v>1457</v>
      </c>
      <c r="C22" s="87"/>
      <c r="D22" s="87"/>
      <c r="E22" s="309">
        <f>SUM(E23:E26)</f>
        <v>1750073.7602554888</v>
      </c>
      <c r="F22" s="309">
        <f>SUM(F23:F26)</f>
        <v>1850164.8745890146</v>
      </c>
      <c r="G22"/>
    </row>
    <row r="23" spans="1:9" x14ac:dyDescent="0.2">
      <c r="A23" s="14"/>
      <c r="B23" s="11"/>
      <c r="C23" s="11" t="s">
        <v>1242</v>
      </c>
      <c r="D23" s="355"/>
      <c r="E23" s="310">
        <f>ประมาณการรายได้!I32</f>
        <v>1750073.7602554888</v>
      </c>
      <c r="F23" s="310">
        <f>ประมาณการรายได้!J32+H23-I23</f>
        <v>1750164.8745890146</v>
      </c>
      <c r="G23" t="s">
        <v>1461</v>
      </c>
      <c r="H23" s="433"/>
      <c r="I23" s="433"/>
    </row>
    <row r="24" spans="1:9" x14ac:dyDescent="0.2">
      <c r="A24" s="14"/>
      <c r="B24" s="11"/>
      <c r="C24" s="11" t="s">
        <v>1243</v>
      </c>
      <c r="D24" s="355"/>
      <c r="E24" s="310">
        <f>ประมาณการรายได้!I33</f>
        <v>0</v>
      </c>
      <c r="F24" s="310">
        <f>ประมาณการรายได้!J33+H24-I24</f>
        <v>0</v>
      </c>
      <c r="G24" t="s">
        <v>1461</v>
      </c>
      <c r="H24" s="433"/>
      <c r="I24" s="433"/>
    </row>
    <row r="25" spans="1:9" x14ac:dyDescent="0.2">
      <c r="A25" s="14"/>
      <c r="B25" s="11"/>
      <c r="C25" s="11" t="s">
        <v>1244</v>
      </c>
      <c r="D25" s="355"/>
      <c r="E25" s="310">
        <f>ประมาณการรายได้!I34</f>
        <v>0</v>
      </c>
      <c r="F25" s="310">
        <f>ประมาณการรายได้!J34+H25-I25</f>
        <v>0</v>
      </c>
      <c r="G25" t="s">
        <v>1461</v>
      </c>
      <c r="H25" s="433"/>
      <c r="I25" s="433"/>
    </row>
    <row r="26" spans="1:9" x14ac:dyDescent="0.2">
      <c r="A26" s="14"/>
      <c r="B26" s="11"/>
      <c r="C26" s="11" t="s">
        <v>1255</v>
      </c>
      <c r="D26" s="355"/>
      <c r="E26" s="310">
        <f>ประมาณการรายได้!I35</f>
        <v>0</v>
      </c>
      <c r="F26" s="310">
        <f>ประมาณการรายได้!J35+H26-I26</f>
        <v>100000</v>
      </c>
      <c r="G26" t="s">
        <v>1461</v>
      </c>
      <c r="H26" s="433"/>
      <c r="I26" s="433"/>
    </row>
    <row r="27" spans="1:9" x14ac:dyDescent="0.2">
      <c r="A27" s="91"/>
      <c r="B27" s="87" t="s">
        <v>1458</v>
      </c>
      <c r="C27" s="87"/>
      <c r="D27" s="87"/>
      <c r="E27" s="309">
        <f>SUM(E28:E30)</f>
        <v>0</v>
      </c>
      <c r="F27" s="309">
        <f>SUM(F28:F30)</f>
        <v>0</v>
      </c>
      <c r="G27"/>
    </row>
    <row r="28" spans="1:9" x14ac:dyDescent="0.2">
      <c r="A28" s="14"/>
      <c r="B28" s="11"/>
      <c r="C28" s="11" t="s">
        <v>1249</v>
      </c>
      <c r="D28" s="355"/>
      <c r="E28" s="310">
        <f>ประมาณการรายได้!E37</f>
        <v>0</v>
      </c>
      <c r="F28" s="310">
        <f>ประมาณการรายได้!F37</f>
        <v>0</v>
      </c>
      <c r="G28"/>
    </row>
    <row r="29" spans="1:9" x14ac:dyDescent="0.2">
      <c r="A29" s="14"/>
      <c r="B29" s="11"/>
      <c r="C29" s="11" t="s">
        <v>1250</v>
      </c>
      <c r="D29" s="355"/>
      <c r="E29" s="310">
        <f>ประมาณการรายได้!E38</f>
        <v>0</v>
      </c>
      <c r="F29" s="310">
        <f>ประมาณการรายได้!F38</f>
        <v>0</v>
      </c>
      <c r="G29"/>
    </row>
    <row r="30" spans="1:9" x14ac:dyDescent="0.2">
      <c r="A30" s="14"/>
      <c r="B30" s="11"/>
      <c r="C30" s="11" t="s">
        <v>1251</v>
      </c>
      <c r="D30" s="355"/>
      <c r="E30" s="310">
        <f>ประมาณการรายได้!E39</f>
        <v>0</v>
      </c>
      <c r="F30" s="310">
        <f>ประมาณการรายได้!F39</f>
        <v>0</v>
      </c>
      <c r="G30"/>
    </row>
    <row r="31" spans="1:9" x14ac:dyDescent="0.2">
      <c r="A31" s="91"/>
      <c r="B31" s="87" t="s">
        <v>1459</v>
      </c>
      <c r="C31" s="87"/>
      <c r="D31" s="87"/>
      <c r="E31" s="309">
        <f>SUM(E32:E33)</f>
        <v>0</v>
      </c>
      <c r="F31" s="309">
        <f>SUM(F32:F33)</f>
        <v>0</v>
      </c>
      <c r="G31"/>
    </row>
    <row r="32" spans="1:9" x14ac:dyDescent="0.2">
      <c r="A32" s="64"/>
      <c r="B32" s="74"/>
      <c r="C32" s="66" t="s">
        <v>135</v>
      </c>
      <c r="D32" s="75"/>
      <c r="E32" s="310">
        <f>ประมาณการรายได้!E41</f>
        <v>0</v>
      </c>
      <c r="F32" s="310">
        <f>ประมาณการรายได้!F41</f>
        <v>0</v>
      </c>
      <c r="G32"/>
    </row>
    <row r="33" spans="1:9" x14ac:dyDescent="0.2">
      <c r="A33" s="76"/>
      <c r="B33" s="74"/>
      <c r="C33" s="66" t="s">
        <v>1256</v>
      </c>
      <c r="D33" s="75"/>
      <c r="E33" s="310">
        <f>ประมาณการรายได้!E42</f>
        <v>0</v>
      </c>
      <c r="F33" s="310">
        <f>ประมาณการรายได้!F42</f>
        <v>0</v>
      </c>
      <c r="G33"/>
    </row>
    <row r="34" spans="1:9" x14ac:dyDescent="0.2">
      <c r="A34" s="54">
        <v>2</v>
      </c>
      <c r="B34" s="55" t="s">
        <v>10</v>
      </c>
      <c r="C34" s="56"/>
      <c r="D34" s="57"/>
      <c r="E34" s="403">
        <f>ประมาณการรายได้!E43</f>
        <v>0</v>
      </c>
      <c r="F34" s="403">
        <f>ประมาณการรายได้!F43</f>
        <v>0</v>
      </c>
      <c r="G34"/>
    </row>
    <row r="35" spans="1:9" x14ac:dyDescent="0.2">
      <c r="A35" s="54">
        <v>3</v>
      </c>
      <c r="B35" s="55" t="s">
        <v>67</v>
      </c>
      <c r="C35" s="56"/>
      <c r="D35" s="57"/>
      <c r="E35" s="305">
        <f>SUM(E36:E42)</f>
        <v>0</v>
      </c>
      <c r="F35" s="305">
        <f>SUM(F36:F42)</f>
        <v>0</v>
      </c>
      <c r="G35"/>
    </row>
    <row r="36" spans="1:9" x14ac:dyDescent="0.2">
      <c r="A36" s="64"/>
      <c r="B36" s="74"/>
      <c r="C36" s="66" t="s">
        <v>136</v>
      </c>
      <c r="D36" s="75"/>
      <c r="E36" s="310">
        <f>ประมาณการรายได้!E45</f>
        <v>0</v>
      </c>
      <c r="F36" s="310">
        <f>ประมาณการรายได้!F45+H36-I36</f>
        <v>0</v>
      </c>
      <c r="G36"/>
      <c r="H36" s="433"/>
      <c r="I36" s="433"/>
    </row>
    <row r="37" spans="1:9" x14ac:dyDescent="0.2">
      <c r="A37" s="64"/>
      <c r="B37" s="74"/>
      <c r="C37" s="66" t="s">
        <v>703</v>
      </c>
      <c r="D37" s="75"/>
      <c r="E37" s="310">
        <f>ประมาณการรายได้!E46</f>
        <v>0</v>
      </c>
      <c r="F37" s="310">
        <f>ประมาณการรายได้!F46+H37-I37</f>
        <v>0</v>
      </c>
      <c r="G37"/>
      <c r="H37" s="433"/>
      <c r="I37" s="433"/>
    </row>
    <row r="38" spans="1:9" x14ac:dyDescent="0.2">
      <c r="A38" s="64"/>
      <c r="B38" s="74"/>
      <c r="C38" s="66" t="s">
        <v>845</v>
      </c>
      <c r="D38" s="75"/>
      <c r="E38" s="310">
        <f>ประมาณการรายได้!E47</f>
        <v>0</v>
      </c>
      <c r="F38" s="310">
        <f>ประมาณการรายได้!F47+H38-I38</f>
        <v>0</v>
      </c>
      <c r="G38"/>
      <c r="H38" s="433"/>
      <c r="I38" s="433"/>
    </row>
    <row r="39" spans="1:9" x14ac:dyDescent="0.2">
      <c r="A39" s="64"/>
      <c r="B39" s="74"/>
      <c r="C39" s="66" t="s">
        <v>137</v>
      </c>
      <c r="D39" s="75"/>
      <c r="E39" s="310">
        <f>ประมาณการรายได้!E48</f>
        <v>0</v>
      </c>
      <c r="F39" s="310">
        <f>ประมาณการรายได้!F48+H39-I39</f>
        <v>0</v>
      </c>
      <c r="G39"/>
      <c r="H39" s="433"/>
      <c r="I39" s="433"/>
    </row>
    <row r="40" spans="1:9" x14ac:dyDescent="0.2">
      <c r="A40" s="64"/>
      <c r="B40" s="74"/>
      <c r="C40" s="66" t="s">
        <v>138</v>
      </c>
      <c r="D40" s="75"/>
      <c r="E40" s="310">
        <f>ประมาณการรายได้!E49</f>
        <v>0</v>
      </c>
      <c r="F40" s="310">
        <f>ประมาณการรายได้!F49+H40-I40</f>
        <v>0</v>
      </c>
      <c r="G40"/>
      <c r="H40" s="433"/>
      <c r="I40" s="433"/>
    </row>
    <row r="41" spans="1:9" x14ac:dyDescent="0.2">
      <c r="A41" s="64"/>
      <c r="B41" s="74"/>
      <c r="C41" s="66" t="s">
        <v>139</v>
      </c>
      <c r="D41" s="75"/>
      <c r="E41" s="310">
        <f>ประมาณการรายได้!E50</f>
        <v>0</v>
      </c>
      <c r="F41" s="310">
        <f>ประมาณการรายได้!F50+H41-I41</f>
        <v>0</v>
      </c>
      <c r="G41"/>
      <c r="H41" s="433"/>
      <c r="I41" s="433"/>
    </row>
    <row r="42" spans="1:9" x14ac:dyDescent="0.2">
      <c r="A42" s="64"/>
      <c r="B42" s="74"/>
      <c r="C42" s="66" t="s">
        <v>140</v>
      </c>
      <c r="D42" s="75"/>
      <c r="E42" s="310">
        <f>ประมาณการรายได้!E51</f>
        <v>0</v>
      </c>
      <c r="F42" s="310">
        <f>ประมาณการรายได้!F51+H42-I42</f>
        <v>0</v>
      </c>
      <c r="G42"/>
      <c r="H42" s="433"/>
      <c r="I42" s="433"/>
    </row>
    <row r="43" spans="1:9" x14ac:dyDescent="0.2">
      <c r="A43" s="54">
        <v>4</v>
      </c>
      <c r="B43" s="55" t="s">
        <v>142</v>
      </c>
      <c r="C43" s="77"/>
      <c r="D43" s="78"/>
      <c r="E43" s="403">
        <f>ประมาณการรายได้!E52</f>
        <v>0</v>
      </c>
      <c r="F43" s="403">
        <f>ประมาณการรายได้!F52+H43-I43</f>
        <v>0</v>
      </c>
      <c r="G43"/>
      <c r="H43" s="433"/>
      <c r="I43" s="433"/>
    </row>
    <row r="44" spans="1:9" x14ac:dyDescent="0.2">
      <c r="A44" s="54">
        <v>5</v>
      </c>
      <c r="B44" s="55" t="s">
        <v>143</v>
      </c>
      <c r="C44" s="77"/>
      <c r="D44" s="78"/>
      <c r="E44" s="305">
        <f>ประมาณการรายได้!E54</f>
        <v>0</v>
      </c>
      <c r="F44" s="305">
        <f>ประมาณการรายได้!F54</f>
        <v>0</v>
      </c>
      <c r="G44"/>
    </row>
    <row r="45" spans="1:9" x14ac:dyDescent="0.2">
      <c r="A45" s="79"/>
      <c r="B45" s="80"/>
      <c r="C45" s="81"/>
      <c r="D45" s="82" t="s">
        <v>141</v>
      </c>
      <c r="E45" s="321">
        <f t="shared" ref="E45" si="1">SUM(E44,E43,E35,E34,E5)</f>
        <v>16721480.82025549</v>
      </c>
      <c r="F45" s="321">
        <f>SUM(F44,F43,F35,F34,F5)</f>
        <v>21691096.934589017</v>
      </c>
      <c r="G45"/>
    </row>
    <row r="46" spans="1:9" x14ac:dyDescent="0.2">
      <c r="A46" s="532" t="s">
        <v>84</v>
      </c>
      <c r="B46" s="533"/>
      <c r="C46" s="533"/>
      <c r="D46" s="534"/>
      <c r="E46" s="404"/>
      <c r="F46" s="404"/>
      <c r="G46"/>
    </row>
    <row r="47" spans="1:9" x14ac:dyDescent="0.2">
      <c r="A47" s="399" t="s">
        <v>0</v>
      </c>
      <c r="B47" s="501" t="s">
        <v>1</v>
      </c>
      <c r="C47" s="502"/>
      <c r="D47" s="503"/>
      <c r="E47" s="400" t="s">
        <v>1460</v>
      </c>
      <c r="F47" s="400" t="s">
        <v>1471</v>
      </c>
      <c r="G47"/>
      <c r="H47" s="396" t="s">
        <v>1629</v>
      </c>
      <c r="I47" s="396" t="s">
        <v>1630</v>
      </c>
    </row>
    <row r="48" spans="1:9" x14ac:dyDescent="0.2">
      <c r="A48" s="405">
        <v>1</v>
      </c>
      <c r="B48" s="406" t="s">
        <v>20</v>
      </c>
      <c r="C48" s="406"/>
      <c r="D48" s="407"/>
      <c r="E48" s="334">
        <f>SUM(E49:E52,E56:E57)</f>
        <v>0</v>
      </c>
      <c r="F48" s="334">
        <f>SUM(F49:F52,F56:F57)</f>
        <v>0</v>
      </c>
      <c r="G48"/>
    </row>
    <row r="49" spans="1:9" x14ac:dyDescent="0.2">
      <c r="A49" s="104"/>
      <c r="B49" s="105"/>
      <c r="C49" s="106"/>
      <c r="D49" s="67" t="s">
        <v>93</v>
      </c>
      <c r="E49" s="308">
        <f>ประมาณการรายจ่าย!E16</f>
        <v>0</v>
      </c>
      <c r="F49" s="308">
        <f>ประมาณการรายจ่าย!F16+H49-I49</f>
        <v>0</v>
      </c>
      <c r="G49"/>
      <c r="H49" s="433"/>
      <c r="I49" s="433"/>
    </row>
    <row r="50" spans="1:9" x14ac:dyDescent="0.2">
      <c r="A50" s="104"/>
      <c r="B50" s="105"/>
      <c r="C50" s="106"/>
      <c r="D50" s="67" t="s">
        <v>74</v>
      </c>
      <c r="E50" s="308">
        <f>ประมาณการรายจ่าย!E17</f>
        <v>0</v>
      </c>
      <c r="F50" s="308">
        <f>ประมาณการรายจ่าย!F17+H50-I50</f>
        <v>0</v>
      </c>
      <c r="G50"/>
      <c r="H50" s="433"/>
      <c r="I50" s="433"/>
    </row>
    <row r="51" spans="1:9" x14ac:dyDescent="0.2">
      <c r="A51" s="104"/>
      <c r="B51" s="105"/>
      <c r="C51" s="106"/>
      <c r="D51" s="67" t="s">
        <v>145</v>
      </c>
      <c r="E51" s="308">
        <f>ประมาณการรายจ่าย!E18</f>
        <v>0</v>
      </c>
      <c r="F51" s="308">
        <f>ประมาณการรายจ่าย!F18+H51-I51</f>
        <v>0</v>
      </c>
      <c r="G51"/>
      <c r="H51" s="433"/>
      <c r="I51" s="433"/>
    </row>
    <row r="52" spans="1:9" x14ac:dyDescent="0.2">
      <c r="A52" s="104"/>
      <c r="B52" s="105"/>
      <c r="C52" s="106"/>
      <c r="D52" s="324" t="s">
        <v>22</v>
      </c>
      <c r="E52" s="330">
        <f>SUM(E53:E55)</f>
        <v>0</v>
      </c>
      <c r="F52" s="330">
        <f>SUM(F53:F55)</f>
        <v>0</v>
      </c>
      <c r="G52"/>
    </row>
    <row r="53" spans="1:9" x14ac:dyDescent="0.2">
      <c r="A53" s="104"/>
      <c r="B53" s="105"/>
      <c r="C53" s="106"/>
      <c r="D53" s="67" t="s">
        <v>23</v>
      </c>
      <c r="E53" s="308">
        <f>ประมาณการรายจ่าย!E20</f>
        <v>0</v>
      </c>
      <c r="F53" s="308">
        <f>ประมาณการรายจ่าย!F20+H53-I53</f>
        <v>0</v>
      </c>
      <c r="G53"/>
      <c r="H53" s="433"/>
      <c r="I53" s="433"/>
    </row>
    <row r="54" spans="1:9" x14ac:dyDescent="0.2">
      <c r="A54" s="104"/>
      <c r="B54" s="105"/>
      <c r="C54" s="106"/>
      <c r="D54" s="67" t="s">
        <v>721</v>
      </c>
      <c r="E54" s="308">
        <f>ประมาณการรายจ่าย!E21</f>
        <v>0</v>
      </c>
      <c r="F54" s="308">
        <f>ประมาณการรายจ่าย!F21+H54-I54</f>
        <v>0</v>
      </c>
      <c r="G54"/>
      <c r="H54" s="433"/>
      <c r="I54" s="433"/>
    </row>
    <row r="55" spans="1:9" x14ac:dyDescent="0.2">
      <c r="A55" s="104"/>
      <c r="B55" s="105"/>
      <c r="C55" s="106"/>
      <c r="D55" s="122" t="s">
        <v>75</v>
      </c>
      <c r="E55" s="308">
        <f>ประมาณการรายจ่าย!E22</f>
        <v>0</v>
      </c>
      <c r="F55" s="308">
        <f>ประมาณการรายจ่าย!F22+H55-I55</f>
        <v>0</v>
      </c>
      <c r="G55"/>
      <c r="H55" s="433"/>
      <c r="I55" s="433"/>
    </row>
    <row r="56" spans="1:9" x14ac:dyDescent="0.2">
      <c r="A56" s="104"/>
      <c r="B56" s="105"/>
      <c r="C56" s="106"/>
      <c r="D56" s="67" t="s">
        <v>24</v>
      </c>
      <c r="E56" s="308">
        <f>ประมาณการรายจ่าย!E23</f>
        <v>0</v>
      </c>
      <c r="F56" s="308">
        <f>ประมาณการรายจ่าย!F23+H56-I56</f>
        <v>0</v>
      </c>
      <c r="G56"/>
      <c r="H56" s="433"/>
      <c r="I56" s="433"/>
    </row>
    <row r="57" spans="1:9" x14ac:dyDescent="0.2">
      <c r="A57" s="104"/>
      <c r="B57" s="105"/>
      <c r="C57" s="106"/>
      <c r="D57" s="67" t="s">
        <v>146</v>
      </c>
      <c r="E57" s="308">
        <f>ประมาณการรายจ่าย!E24</f>
        <v>0</v>
      </c>
      <c r="F57" s="308">
        <f>ประมาณการรายจ่าย!F24+H57-I57</f>
        <v>0</v>
      </c>
      <c r="G57"/>
      <c r="H57" s="433"/>
      <c r="I57" s="433"/>
    </row>
    <row r="58" spans="1:9" x14ac:dyDescent="0.2">
      <c r="A58" s="97">
        <v>2</v>
      </c>
      <c r="B58" s="111" t="s">
        <v>25</v>
      </c>
      <c r="C58" s="112"/>
      <c r="D58" s="113"/>
      <c r="E58" s="326">
        <f>SUM(E59,E65,E70,E74,E75,E80,E85,E88)</f>
        <v>7955468.3936000001</v>
      </c>
      <c r="F58" s="326">
        <f>SUM(F59,F65,F70,F74,F75,F80,F85,F88)</f>
        <v>0</v>
      </c>
      <c r="G58"/>
    </row>
    <row r="59" spans="1:9" x14ac:dyDescent="0.2">
      <c r="A59" s="104"/>
      <c r="B59" s="115">
        <v>2.1</v>
      </c>
      <c r="C59" s="116" t="s">
        <v>27</v>
      </c>
      <c r="D59" s="116"/>
      <c r="E59" s="329">
        <f>SUM(E60:E64)</f>
        <v>0</v>
      </c>
      <c r="F59" s="329">
        <f>SUM(F60:F64)</f>
        <v>0</v>
      </c>
      <c r="G59"/>
    </row>
    <row r="60" spans="1:9" x14ac:dyDescent="0.2">
      <c r="A60" s="25"/>
      <c r="B60" s="26"/>
      <c r="C60" s="31" t="s">
        <v>76</v>
      </c>
      <c r="D60" s="32"/>
      <c r="E60" s="308">
        <f>ประมาณการรายจ่าย!E29</f>
        <v>0</v>
      </c>
      <c r="F60" s="308">
        <f>ประมาณการรายจ่าย!F29</f>
        <v>0</v>
      </c>
      <c r="G60"/>
    </row>
    <row r="61" spans="1:9" x14ac:dyDescent="0.2">
      <c r="A61" s="104"/>
      <c r="B61" s="105"/>
      <c r="C61" s="75" t="s">
        <v>28</v>
      </c>
      <c r="D61" s="117"/>
      <c r="E61" s="308">
        <f>ประมาณการรายจ่าย!E30</f>
        <v>0</v>
      </c>
      <c r="F61" s="308">
        <f>ประมาณการรายจ่าย!F30</f>
        <v>0</v>
      </c>
      <c r="G61"/>
    </row>
    <row r="62" spans="1:9" x14ac:dyDescent="0.2">
      <c r="A62" s="104"/>
      <c r="B62" s="105"/>
      <c r="C62" s="75" t="s">
        <v>147</v>
      </c>
      <c r="D62" s="118"/>
      <c r="E62" s="308">
        <f>ประมาณการรายจ่าย!E31</f>
        <v>0</v>
      </c>
      <c r="F62" s="308">
        <f>ประมาณการรายจ่าย!F31+H62-I62</f>
        <v>0</v>
      </c>
      <c r="G62"/>
      <c r="H62" s="433"/>
      <c r="I62" s="433"/>
    </row>
    <row r="63" spans="1:9" x14ac:dyDescent="0.2">
      <c r="A63" s="104"/>
      <c r="B63" s="119"/>
      <c r="C63" s="167" t="s">
        <v>1190</v>
      </c>
      <c r="E63" s="308">
        <f>ประมาณการรายจ่าย!E32</f>
        <v>0</v>
      </c>
      <c r="F63" s="308">
        <f>ประมาณการรายจ่าย!F32+H63-I63</f>
        <v>0</v>
      </c>
      <c r="G63"/>
      <c r="H63" s="433"/>
      <c r="I63" s="433"/>
    </row>
    <row r="64" spans="1:9" x14ac:dyDescent="0.2">
      <c r="A64" s="104"/>
      <c r="B64" s="119"/>
      <c r="C64" s="120" t="s">
        <v>848</v>
      </c>
      <c r="E64" s="308">
        <f>ประมาณการรายจ่าย!E33</f>
        <v>0</v>
      </c>
      <c r="F64" s="308">
        <f>ประมาณการรายจ่าย!F33+H64-I64</f>
        <v>0</v>
      </c>
      <c r="G64"/>
      <c r="H64" s="433"/>
      <c r="I64" s="433"/>
    </row>
    <row r="65" spans="1:9" x14ac:dyDescent="0.2">
      <c r="A65" s="104"/>
      <c r="B65" s="115">
        <v>2.2000000000000002</v>
      </c>
      <c r="C65" s="116" t="s">
        <v>30</v>
      </c>
      <c r="D65" s="116"/>
      <c r="E65" s="329">
        <f>SUM(E66:E69)</f>
        <v>0</v>
      </c>
      <c r="F65" s="329">
        <f>SUM(F66:F69)</f>
        <v>0</v>
      </c>
      <c r="G65"/>
    </row>
    <row r="66" spans="1:9" x14ac:dyDescent="0.2">
      <c r="A66" s="104"/>
      <c r="B66" s="105"/>
      <c r="C66" s="75" t="s">
        <v>31</v>
      </c>
      <c r="D66" s="75"/>
      <c r="E66" s="308">
        <f>ประมาณการรายจ่าย!E35</f>
        <v>0</v>
      </c>
      <c r="F66" s="308">
        <f>ประมาณการรายจ่าย!F35+H66-I66</f>
        <v>0</v>
      </c>
      <c r="G66"/>
      <c r="H66" s="433"/>
      <c r="I66" s="433"/>
    </row>
    <row r="67" spans="1:9" x14ac:dyDescent="0.2">
      <c r="A67" s="104"/>
      <c r="B67" s="105"/>
      <c r="C67" s="75" t="s">
        <v>32</v>
      </c>
      <c r="D67" s="75"/>
      <c r="E67" s="308">
        <f>ประมาณการรายจ่าย!E36</f>
        <v>0</v>
      </c>
      <c r="F67" s="308">
        <f>ประมาณการรายจ่าย!F36+H67-I67</f>
        <v>0</v>
      </c>
      <c r="G67"/>
      <c r="H67" s="433"/>
      <c r="I67" s="433"/>
    </row>
    <row r="68" spans="1:9" x14ac:dyDescent="0.2">
      <c r="A68" s="104"/>
      <c r="B68" s="105"/>
      <c r="C68" s="75" t="s">
        <v>33</v>
      </c>
      <c r="D68" s="75"/>
      <c r="E68" s="308">
        <f>ประมาณการรายจ่าย!E37</f>
        <v>0</v>
      </c>
      <c r="F68" s="308">
        <f>ประมาณการรายจ่าย!F37+H68-I68</f>
        <v>0</v>
      </c>
      <c r="G68"/>
      <c r="H68" s="433"/>
      <c r="I68" s="433"/>
    </row>
    <row r="69" spans="1:9" x14ac:dyDescent="0.2">
      <c r="A69" s="104"/>
      <c r="B69" s="105"/>
      <c r="C69" s="75" t="s">
        <v>34</v>
      </c>
      <c r="D69" s="75"/>
      <c r="E69" s="308">
        <f>ประมาณการรายจ่าย!E38</f>
        <v>0</v>
      </c>
      <c r="F69" s="308">
        <f>ประมาณการรายจ่าย!F38+H69-I69</f>
        <v>0</v>
      </c>
      <c r="G69"/>
      <c r="H69" s="433"/>
      <c r="I69" s="433"/>
    </row>
    <row r="70" spans="1:9" x14ac:dyDescent="0.2">
      <c r="A70" s="104"/>
      <c r="B70" s="115">
        <v>2.2999999999999998</v>
      </c>
      <c r="C70" s="116" t="s">
        <v>35</v>
      </c>
      <c r="D70" s="116"/>
      <c r="E70" s="329">
        <f>SUM(E71:E73)</f>
        <v>0</v>
      </c>
      <c r="F70" s="329">
        <f>SUM(F71:F73)</f>
        <v>0</v>
      </c>
      <c r="G70"/>
    </row>
    <row r="71" spans="1:9" x14ac:dyDescent="0.2">
      <c r="A71" s="104"/>
      <c r="B71" s="105"/>
      <c r="C71" s="75" t="s">
        <v>36</v>
      </c>
      <c r="D71" s="75"/>
      <c r="E71" s="308">
        <f>ประมาณการรายจ่าย!E40</f>
        <v>0</v>
      </c>
      <c r="F71" s="308">
        <f>ประมาณการรายจ่าย!F40+H71-I71</f>
        <v>0</v>
      </c>
      <c r="G71"/>
      <c r="H71" s="433"/>
      <c r="I71" s="433"/>
    </row>
    <row r="72" spans="1:9" x14ac:dyDescent="0.2">
      <c r="A72" s="104"/>
      <c r="B72" s="105"/>
      <c r="C72" s="75" t="s">
        <v>37</v>
      </c>
      <c r="D72" s="75"/>
      <c r="E72" s="308">
        <f>ประมาณการรายจ่าย!E41</f>
        <v>0</v>
      </c>
      <c r="F72" s="308">
        <f>ประมาณการรายจ่าย!F41+H72-I72</f>
        <v>0</v>
      </c>
      <c r="G72"/>
      <c r="H72" s="433"/>
      <c r="I72" s="433"/>
    </row>
    <row r="73" spans="1:9" x14ac:dyDescent="0.2">
      <c r="A73" s="104"/>
      <c r="B73" s="105"/>
      <c r="C73" s="75" t="s">
        <v>38</v>
      </c>
      <c r="D73" s="75"/>
      <c r="E73" s="308">
        <f>ประมาณการรายจ่าย!E42</f>
        <v>0</v>
      </c>
      <c r="F73" s="308">
        <f>ประมาณการรายจ่าย!F42+H73-I73</f>
        <v>0</v>
      </c>
      <c r="G73"/>
      <c r="H73" s="433"/>
      <c r="I73" s="433"/>
    </row>
    <row r="74" spans="1:9" x14ac:dyDescent="0.2">
      <c r="A74" s="104"/>
      <c r="B74" s="115">
        <v>2.4</v>
      </c>
      <c r="C74" s="109" t="s">
        <v>1214</v>
      </c>
      <c r="D74" s="116"/>
      <c r="E74" s="329">
        <f>ประมาณการรายจ่าย!E43</f>
        <v>0</v>
      </c>
      <c r="F74" s="329">
        <f>ประมาณการรายจ่าย!F43+H74-I74</f>
        <v>0</v>
      </c>
      <c r="G74"/>
      <c r="H74" s="433"/>
      <c r="I74" s="433"/>
    </row>
    <row r="75" spans="1:9" x14ac:dyDescent="0.2">
      <c r="A75" s="104"/>
      <c r="B75" s="115">
        <v>2.5</v>
      </c>
      <c r="C75" s="109" t="s">
        <v>39</v>
      </c>
      <c r="D75" s="116"/>
      <c r="E75" s="329">
        <f>SUM(E76:E79)</f>
        <v>7955468.3936000001</v>
      </c>
      <c r="F75" s="329">
        <f>SUM(F76:F79)</f>
        <v>0</v>
      </c>
      <c r="G75"/>
    </row>
    <row r="76" spans="1:9" x14ac:dyDescent="0.2">
      <c r="A76" s="104"/>
      <c r="B76" s="105"/>
      <c r="C76" s="75" t="s">
        <v>40</v>
      </c>
      <c r="D76" s="75"/>
      <c r="E76" s="308">
        <f>ประมาณการรายจ่าย!I45</f>
        <v>6501825.6415999997</v>
      </c>
      <c r="F76" s="308">
        <f>ประมาณการรายจ่าย!F45+H76-I76</f>
        <v>0</v>
      </c>
      <c r="G76" t="s">
        <v>1461</v>
      </c>
      <c r="H76" s="433"/>
      <c r="I76" s="433"/>
    </row>
    <row r="77" spans="1:9" x14ac:dyDescent="0.2">
      <c r="A77" s="104"/>
      <c r="B77" s="105"/>
      <c r="C77" s="75" t="s">
        <v>41</v>
      </c>
      <c r="D77" s="75"/>
      <c r="E77" s="308">
        <f>ประมาณการรายจ่าย!I46</f>
        <v>1242542.662</v>
      </c>
      <c r="F77" s="308">
        <f>ประมาณการรายจ่าย!F46+H77-I77</f>
        <v>0</v>
      </c>
      <c r="G77" t="s">
        <v>1461</v>
      </c>
      <c r="H77" s="433"/>
      <c r="I77" s="433"/>
    </row>
    <row r="78" spans="1:9" x14ac:dyDescent="0.2">
      <c r="A78" s="104"/>
      <c r="B78" s="105"/>
      <c r="C78" s="118" t="s">
        <v>42</v>
      </c>
      <c r="D78" s="75"/>
      <c r="E78" s="308">
        <f>ประมาณการรายจ่าย!I47</f>
        <v>0</v>
      </c>
      <c r="F78" s="308">
        <f>ประมาณการรายจ่าย!F47+H78-I78</f>
        <v>0</v>
      </c>
      <c r="G78" t="s">
        <v>1461</v>
      </c>
      <c r="H78" s="433"/>
      <c r="I78" s="433"/>
    </row>
    <row r="79" spans="1:9" x14ac:dyDescent="0.2">
      <c r="A79" s="104"/>
      <c r="B79" s="105"/>
      <c r="C79" s="118" t="s">
        <v>43</v>
      </c>
      <c r="D79" s="75"/>
      <c r="E79" s="308">
        <f>ประมาณการรายจ่าย!I48</f>
        <v>211100.09</v>
      </c>
      <c r="F79" s="308">
        <f>ประมาณการรายจ่าย!F48+H79-I79</f>
        <v>0</v>
      </c>
      <c r="G79" t="s">
        <v>1461</v>
      </c>
      <c r="H79" s="433"/>
      <c r="I79" s="433"/>
    </row>
    <row r="80" spans="1:9" x14ac:dyDescent="0.2">
      <c r="A80" s="104"/>
      <c r="B80" s="115">
        <v>2.6</v>
      </c>
      <c r="C80" s="109" t="s">
        <v>44</v>
      </c>
      <c r="D80" s="116"/>
      <c r="E80" s="329">
        <f>SUM(E81:E84)</f>
        <v>0</v>
      </c>
      <c r="F80" s="329">
        <f>SUM(F81:F84)</f>
        <v>0</v>
      </c>
      <c r="G80"/>
    </row>
    <row r="81" spans="1:7" x14ac:dyDescent="0.2">
      <c r="A81" s="104"/>
      <c r="B81" s="105"/>
      <c r="C81" s="118" t="s">
        <v>45</v>
      </c>
      <c r="D81" s="75"/>
      <c r="E81" s="308">
        <f>ประมาณการรายจ่าย!E50</f>
        <v>0</v>
      </c>
      <c r="F81" s="308">
        <f>ประมาณการรายจ่าย!F50</f>
        <v>0</v>
      </c>
      <c r="G81"/>
    </row>
    <row r="82" spans="1:7" x14ac:dyDescent="0.2">
      <c r="A82" s="104"/>
      <c r="B82" s="105"/>
      <c r="C82" s="118" t="s">
        <v>46</v>
      </c>
      <c r="D82" s="75"/>
      <c r="E82" s="308">
        <f>ประมาณการรายจ่าย!E51</f>
        <v>0</v>
      </c>
      <c r="F82" s="308">
        <f>ประมาณการรายจ่าย!F51</f>
        <v>0</v>
      </c>
      <c r="G82"/>
    </row>
    <row r="83" spans="1:7" x14ac:dyDescent="0.2">
      <c r="A83" s="104"/>
      <c r="B83" s="105"/>
      <c r="C83" s="118" t="s">
        <v>47</v>
      </c>
      <c r="D83" s="75"/>
      <c r="E83" s="308">
        <f>ประมาณการรายจ่าย!E52</f>
        <v>0</v>
      </c>
      <c r="F83" s="308">
        <f>ประมาณการรายจ่าย!F52</f>
        <v>0</v>
      </c>
      <c r="G83"/>
    </row>
    <row r="84" spans="1:7" x14ac:dyDescent="0.2">
      <c r="A84" s="104"/>
      <c r="B84" s="105"/>
      <c r="C84" s="118" t="s">
        <v>48</v>
      </c>
      <c r="D84" s="75"/>
      <c r="E84" s="308">
        <f>ประมาณการรายจ่าย!E53</f>
        <v>0</v>
      </c>
      <c r="F84" s="308">
        <f>ประมาณการรายจ่าย!F53</f>
        <v>0</v>
      </c>
      <c r="G84"/>
    </row>
    <row r="85" spans="1:7" x14ac:dyDescent="0.2">
      <c r="A85" s="104"/>
      <c r="B85" s="115">
        <v>2.7</v>
      </c>
      <c r="C85" s="116" t="s">
        <v>78</v>
      </c>
      <c r="D85" s="116"/>
      <c r="E85" s="329">
        <f>SUM(E86:E87)</f>
        <v>0</v>
      </c>
      <c r="F85" s="329">
        <f>SUM(F86:F87)</f>
        <v>0</v>
      </c>
      <c r="G85"/>
    </row>
    <row r="86" spans="1:7" x14ac:dyDescent="0.2">
      <c r="A86" s="104"/>
      <c r="B86" s="123"/>
      <c r="C86" s="118" t="s">
        <v>65</v>
      </c>
      <c r="D86" s="75"/>
      <c r="E86" s="308">
        <f>ประมาณการรายจ่าย!E55</f>
        <v>0</v>
      </c>
      <c r="F86" s="308">
        <f>ประมาณการรายจ่าย!F55</f>
        <v>0</v>
      </c>
      <c r="G86"/>
    </row>
    <row r="87" spans="1:7" x14ac:dyDescent="0.2">
      <c r="A87" s="104"/>
      <c r="B87" s="105"/>
      <c r="C87" s="118" t="s">
        <v>66</v>
      </c>
      <c r="D87" s="75"/>
      <c r="E87" s="308">
        <f>ประมาณการรายจ่าย!E56</f>
        <v>0</v>
      </c>
      <c r="F87" s="308">
        <f>ประมาณการรายจ่าย!F56</f>
        <v>0</v>
      </c>
      <c r="G87"/>
    </row>
    <row r="88" spans="1:7" x14ac:dyDescent="0.2">
      <c r="A88" s="104"/>
      <c r="B88" s="115">
        <v>2.8</v>
      </c>
      <c r="C88" s="116" t="s">
        <v>49</v>
      </c>
      <c r="D88" s="116"/>
      <c r="E88" s="329">
        <f>SUM(E89:E90)</f>
        <v>0</v>
      </c>
      <c r="F88" s="329">
        <f>SUM(F89:F90)</f>
        <v>0</v>
      </c>
      <c r="G88"/>
    </row>
    <row r="89" spans="1:7" x14ac:dyDescent="0.2">
      <c r="A89" s="104"/>
      <c r="B89" s="123"/>
      <c r="C89" s="118" t="s">
        <v>1228</v>
      </c>
      <c r="D89" s="75"/>
      <c r="E89" s="308">
        <f>ประมาณการรายจ่าย!E58</f>
        <v>0</v>
      </c>
      <c r="F89" s="308">
        <f>ประมาณการรายจ่าย!F58</f>
        <v>0</v>
      </c>
      <c r="G89" t="s">
        <v>1462</v>
      </c>
    </row>
    <row r="90" spans="1:7" x14ac:dyDescent="0.2">
      <c r="A90" s="104"/>
      <c r="B90" s="105"/>
      <c r="C90" s="118" t="s">
        <v>49</v>
      </c>
      <c r="D90" s="75"/>
      <c r="E90" s="308">
        <f>ประมาณการรายจ่าย!E59</f>
        <v>0</v>
      </c>
      <c r="F90" s="308">
        <f>ประมาณการรายจ่าย!F59</f>
        <v>0</v>
      </c>
      <c r="G90"/>
    </row>
    <row r="91" spans="1:7" x14ac:dyDescent="0.2">
      <c r="A91" s="126">
        <v>3</v>
      </c>
      <c r="B91" s="408" t="s">
        <v>1463</v>
      </c>
      <c r="C91" s="127"/>
      <c r="D91" s="128"/>
      <c r="E91" s="318">
        <f>E21</f>
        <v>0</v>
      </c>
      <c r="F91" s="318">
        <f>F21</f>
        <v>0</v>
      </c>
      <c r="G91"/>
    </row>
    <row r="92" spans="1:7" x14ac:dyDescent="0.2">
      <c r="A92" s="126">
        <v>4</v>
      </c>
      <c r="B92" s="164" t="s">
        <v>1464</v>
      </c>
      <c r="C92" s="127"/>
      <c r="D92" s="128"/>
      <c r="E92" s="318"/>
      <c r="F92" s="318"/>
      <c r="G92"/>
    </row>
    <row r="93" spans="1:7" x14ac:dyDescent="0.2">
      <c r="A93" s="130"/>
      <c r="B93" s="131"/>
      <c r="C93" s="132"/>
      <c r="D93" s="133" t="s">
        <v>77</v>
      </c>
      <c r="E93" s="335">
        <f t="shared" ref="E93" si="2">SUM(E91:E92,E58,E48)</f>
        <v>7955468.3936000001</v>
      </c>
      <c r="F93" s="335">
        <f>SUM(F91:F92,F58,F48)</f>
        <v>0</v>
      </c>
      <c r="G93"/>
    </row>
    <row r="94" spans="1:7" x14ac:dyDescent="0.2">
      <c r="A94" s="409"/>
      <c r="B94" s="410"/>
      <c r="C94" s="410"/>
      <c r="D94" s="410" t="s">
        <v>1465</v>
      </c>
      <c r="E94" s="411"/>
      <c r="F94" s="411">
        <f>F45-F93</f>
        <v>21691096.934589017</v>
      </c>
    </row>
    <row r="95" spans="1:7" x14ac:dyDescent="0.2">
      <c r="A95" s="412"/>
      <c r="B95" s="118"/>
      <c r="C95" s="118"/>
      <c r="D95" s="118" t="s">
        <v>1466</v>
      </c>
      <c r="E95" s="413"/>
      <c r="F95" s="414"/>
    </row>
    <row r="96" spans="1:7" x14ac:dyDescent="0.2">
      <c r="A96" s="409"/>
      <c r="B96" s="410"/>
      <c r="C96" s="410"/>
      <c r="D96" s="410" t="s">
        <v>1467</v>
      </c>
      <c r="E96" s="411"/>
      <c r="F96" s="411">
        <f>F94+F95</f>
        <v>21691096.934589017</v>
      </c>
    </row>
    <row r="98" spans="4:6" x14ac:dyDescent="0.2">
      <c r="D98" t="s">
        <v>1472</v>
      </c>
      <c r="E98"/>
      <c r="F98"/>
    </row>
  </sheetData>
  <mergeCells count="6">
    <mergeCell ref="B47:D47"/>
    <mergeCell ref="A1:F1"/>
    <mergeCell ref="A2:F2"/>
    <mergeCell ref="B3:D3"/>
    <mergeCell ref="A4:D4"/>
    <mergeCell ref="A46:D4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Q170"/>
  <sheetViews>
    <sheetView tabSelected="1" zoomScale="85" zoomScaleNormal="85" workbookViewId="0">
      <pane xSplit="6" ySplit="2" topLeftCell="AJ31" activePane="bottomRight" state="frozen"/>
      <selection pane="topRight" activeCell="G1" sqref="G1"/>
      <selection pane="bottomLeft" activeCell="A3" sqref="A3"/>
      <selection pane="bottomRight" activeCell="D41" sqref="D41"/>
    </sheetView>
  </sheetViews>
  <sheetFormatPr defaultColWidth="9" defaultRowHeight="14.25" x14ac:dyDescent="0.2"/>
  <cols>
    <col min="1" max="1" width="5.125" style="2" customWidth="1"/>
    <col min="2" max="2" width="3.625" style="2" customWidth="1"/>
    <col min="3" max="3" width="2.125" style="2" customWidth="1"/>
    <col min="4" max="4" width="39.875" style="2" customWidth="1"/>
    <col min="5" max="5" width="21.5" style="212" customWidth="1"/>
    <col min="6" max="6" width="19" style="212" customWidth="1"/>
    <col min="7" max="7" width="20.625" style="212" bestFit="1" customWidth="1"/>
    <col min="8" max="8" width="14.75" style="212" bestFit="1" customWidth="1"/>
    <col min="9" max="9" width="20.625" style="212" bestFit="1" customWidth="1"/>
    <col min="10" max="10" width="14.75" style="212" bestFit="1" customWidth="1"/>
    <col min="11" max="11" width="20.625" style="212" customWidth="1"/>
    <col min="12" max="12" width="14.75" style="212" bestFit="1" customWidth="1"/>
    <col min="13" max="13" width="20.625" style="212" bestFit="1" customWidth="1"/>
    <col min="14" max="14" width="14.75" style="212" bestFit="1" customWidth="1"/>
    <col min="15" max="15" width="20.625" style="212" bestFit="1" customWidth="1"/>
    <col min="16" max="16" width="14.75" style="212" bestFit="1" customWidth="1"/>
    <col min="17" max="17" width="20.625" style="212" bestFit="1" customWidth="1"/>
    <col min="18" max="18" width="14.75" style="212" bestFit="1" customWidth="1"/>
    <col min="19" max="19" width="20.625" style="212" bestFit="1" customWidth="1"/>
    <col min="20" max="20" width="14.75" style="212" bestFit="1" customWidth="1"/>
    <col min="21" max="21" width="20.625" style="212" bestFit="1" customWidth="1"/>
    <col min="22" max="22" width="14.75" style="212" bestFit="1" customWidth="1"/>
    <col min="23" max="23" width="20.625" style="212" bestFit="1" customWidth="1"/>
    <col min="24" max="24" width="14.75" style="212" bestFit="1" customWidth="1"/>
    <col min="25" max="25" width="20.625" style="212" bestFit="1" customWidth="1"/>
    <col min="26" max="26" width="14.75" style="212" bestFit="1" customWidth="1"/>
    <col min="27" max="27" width="20.625" style="212" bestFit="1" customWidth="1"/>
    <col min="28" max="28" width="14.75" style="212" bestFit="1" customWidth="1"/>
    <col min="29" max="29" width="20.625" style="212" bestFit="1" customWidth="1"/>
    <col min="30" max="30" width="14.75" style="212" bestFit="1" customWidth="1"/>
    <col min="31" max="31" width="20.625" style="212" bestFit="1" customWidth="1"/>
    <col min="32" max="32" width="14.75" style="212" bestFit="1" customWidth="1"/>
    <col min="33" max="33" width="20.625" style="212" bestFit="1" customWidth="1"/>
    <col min="34" max="34" width="14.75" style="212" bestFit="1" customWidth="1"/>
    <col min="35" max="35" width="20.625" style="212" bestFit="1" customWidth="1"/>
    <col min="36" max="36" width="14.75" style="212" bestFit="1" customWidth="1"/>
    <col min="37" max="37" width="20.625" style="212" bestFit="1" customWidth="1"/>
    <col min="38" max="38" width="14.75" style="212" bestFit="1" customWidth="1"/>
    <col min="39" max="39" width="20.625" style="212" bestFit="1" customWidth="1"/>
    <col min="40" max="40" width="14.75" style="212" bestFit="1" customWidth="1"/>
    <col min="41" max="41" width="20.625" style="212" hidden="1" customWidth="1"/>
    <col min="42" max="42" width="14.75" style="212" hidden="1" customWidth="1"/>
    <col min="43" max="43" width="20.625" style="212" hidden="1" customWidth="1"/>
    <col min="44" max="44" width="14.75" style="212" hidden="1" customWidth="1"/>
    <col min="45" max="45" width="20.625" style="212" hidden="1" customWidth="1"/>
    <col min="46" max="46" width="14.75" style="212" hidden="1" customWidth="1"/>
    <col min="47" max="47" width="20.625" style="212" hidden="1" customWidth="1"/>
    <col min="48" max="48" width="14.75" style="212" hidden="1" customWidth="1"/>
    <col min="49" max="49" width="20.625" style="212" hidden="1" customWidth="1"/>
    <col min="50" max="50" width="14.75" style="212" hidden="1" customWidth="1"/>
    <col min="51" max="51" width="20.625" style="212" hidden="1" customWidth="1"/>
    <col min="52" max="52" width="14.75" style="212" hidden="1" customWidth="1"/>
    <col min="53" max="53" width="20.625" style="212" hidden="1" customWidth="1"/>
    <col min="54" max="54" width="14.75" style="212" hidden="1" customWidth="1"/>
    <col min="55" max="55" width="20.625" style="212" hidden="1" customWidth="1"/>
    <col min="56" max="56" width="14.75" style="212" hidden="1" customWidth="1"/>
    <col min="57" max="57" width="20.625" style="212" hidden="1" customWidth="1"/>
    <col min="58" max="58" width="14.75" style="212" hidden="1" customWidth="1"/>
    <col min="59" max="59" width="20.625" style="212" hidden="1" customWidth="1"/>
    <col min="60" max="60" width="14.75" style="212" hidden="1" customWidth="1"/>
    <col min="61" max="61" width="20.625" style="212" hidden="1" customWidth="1"/>
    <col min="62" max="62" width="14.75" style="212" hidden="1" customWidth="1"/>
    <col min="63" max="63" width="20.625" style="212" bestFit="1" customWidth="1"/>
    <col min="64" max="64" width="14.75" style="212" bestFit="1" customWidth="1"/>
    <col min="65" max="65" width="20.625" style="212" bestFit="1" customWidth="1"/>
    <col min="66" max="66" width="19.75" style="212" customWidth="1"/>
    <col min="67" max="67" width="12.875" style="434" customWidth="1"/>
    <col min="68" max="68" width="12.75" style="434" customWidth="1"/>
    <col min="69" max="16384" width="9" style="434"/>
  </cols>
  <sheetData>
    <row r="1" spans="1:68" x14ac:dyDescent="0.2">
      <c r="A1" s="3" t="s">
        <v>0</v>
      </c>
      <c r="B1" s="490" t="s">
        <v>1</v>
      </c>
      <c r="C1" s="490"/>
      <c r="D1" s="490"/>
      <c r="E1" s="4"/>
      <c r="F1" s="4"/>
      <c r="G1" s="493" t="s">
        <v>1636</v>
      </c>
      <c r="H1" s="494"/>
      <c r="I1" s="493" t="s">
        <v>1637</v>
      </c>
      <c r="J1" s="494"/>
      <c r="K1" s="493" t="s">
        <v>1638</v>
      </c>
      <c r="L1" s="494"/>
      <c r="M1" s="493" t="s">
        <v>1639</v>
      </c>
      <c r="N1" s="494"/>
      <c r="O1" s="493" t="s">
        <v>1640</v>
      </c>
      <c r="P1" s="494"/>
      <c r="Q1" s="493" t="s">
        <v>1642</v>
      </c>
      <c r="R1" s="494"/>
      <c r="S1" s="493" t="s">
        <v>1643</v>
      </c>
      <c r="T1" s="494"/>
      <c r="U1" s="493" t="s">
        <v>1644</v>
      </c>
      <c r="V1" s="494"/>
      <c r="W1" s="493" t="s">
        <v>1645</v>
      </c>
      <c r="X1" s="494"/>
      <c r="Y1" s="493" t="s">
        <v>1648</v>
      </c>
      <c r="Z1" s="494"/>
      <c r="AA1" s="493" t="s">
        <v>1654</v>
      </c>
      <c r="AB1" s="494"/>
      <c r="AC1" s="493" t="s">
        <v>1649</v>
      </c>
      <c r="AD1" s="494"/>
      <c r="AE1" s="493" t="s">
        <v>1650</v>
      </c>
      <c r="AF1" s="494"/>
      <c r="AG1" s="493" t="s">
        <v>1651</v>
      </c>
      <c r="AH1" s="494"/>
      <c r="AI1" s="493" t="s">
        <v>1652</v>
      </c>
      <c r="AJ1" s="494"/>
      <c r="AK1" s="493" t="s">
        <v>1655</v>
      </c>
      <c r="AL1" s="494"/>
      <c r="AM1" s="493" t="s">
        <v>1653</v>
      </c>
      <c r="AN1" s="494"/>
      <c r="AO1" s="493" t="s">
        <v>1646</v>
      </c>
      <c r="AP1" s="494"/>
      <c r="AQ1" s="493" t="s">
        <v>1633</v>
      </c>
      <c r="AR1" s="494"/>
      <c r="AS1" s="493" t="s">
        <v>1633</v>
      </c>
      <c r="AT1" s="494"/>
      <c r="AU1" s="493" t="s">
        <v>1633</v>
      </c>
      <c r="AV1" s="494"/>
      <c r="AW1" s="493" t="s">
        <v>1633</v>
      </c>
      <c r="AX1" s="494"/>
      <c r="AY1" s="493" t="s">
        <v>1633</v>
      </c>
      <c r="AZ1" s="494"/>
      <c r="BA1" s="493" t="s">
        <v>1633</v>
      </c>
      <c r="BB1" s="494"/>
      <c r="BC1" s="493" t="s">
        <v>1633</v>
      </c>
      <c r="BD1" s="494"/>
      <c r="BE1" s="493" t="s">
        <v>1633</v>
      </c>
      <c r="BF1" s="494"/>
      <c r="BG1" s="493" t="s">
        <v>1633</v>
      </c>
      <c r="BH1" s="494"/>
      <c r="BI1" s="493" t="s">
        <v>1633</v>
      </c>
      <c r="BJ1" s="494"/>
      <c r="BK1" s="493" t="s">
        <v>1647</v>
      </c>
      <c r="BL1" s="494"/>
      <c r="BM1" s="493" t="s">
        <v>1641</v>
      </c>
      <c r="BN1" s="494"/>
      <c r="BO1" s="493" t="s">
        <v>1635</v>
      </c>
      <c r="BP1" s="494"/>
    </row>
    <row r="2" spans="1:68" s="435" customFormat="1" ht="18" x14ac:dyDescent="0.2">
      <c r="A2" s="296" t="s">
        <v>83</v>
      </c>
      <c r="B2" s="297"/>
      <c r="C2" s="297"/>
      <c r="D2" s="297"/>
      <c r="E2" s="359" t="s">
        <v>1631</v>
      </c>
      <c r="F2" s="359" t="s">
        <v>1632</v>
      </c>
      <c r="G2" s="359" t="s">
        <v>1631</v>
      </c>
      <c r="H2" s="359" t="s">
        <v>1632</v>
      </c>
      <c r="I2" s="359" t="s">
        <v>1631</v>
      </c>
      <c r="J2" s="359" t="s">
        <v>1632</v>
      </c>
      <c r="K2" s="359" t="s">
        <v>1631</v>
      </c>
      <c r="L2" s="359" t="s">
        <v>1632</v>
      </c>
      <c r="M2" s="359" t="s">
        <v>1631</v>
      </c>
      <c r="N2" s="359" t="s">
        <v>1632</v>
      </c>
      <c r="O2" s="359" t="s">
        <v>1631</v>
      </c>
      <c r="P2" s="359" t="s">
        <v>1632</v>
      </c>
      <c r="Q2" s="359" t="s">
        <v>1631</v>
      </c>
      <c r="R2" s="359" t="s">
        <v>1632</v>
      </c>
      <c r="S2" s="359" t="s">
        <v>1631</v>
      </c>
      <c r="T2" s="359" t="s">
        <v>1632</v>
      </c>
      <c r="U2" s="359" t="s">
        <v>1631</v>
      </c>
      <c r="V2" s="359" t="s">
        <v>1632</v>
      </c>
      <c r="W2" s="359" t="s">
        <v>1631</v>
      </c>
      <c r="X2" s="359" t="s">
        <v>1632</v>
      </c>
      <c r="Y2" s="359" t="s">
        <v>1631</v>
      </c>
      <c r="Z2" s="359" t="s">
        <v>1632</v>
      </c>
      <c r="AA2" s="359" t="s">
        <v>1631</v>
      </c>
      <c r="AB2" s="359" t="s">
        <v>1632</v>
      </c>
      <c r="AC2" s="359" t="s">
        <v>1631</v>
      </c>
      <c r="AD2" s="359" t="s">
        <v>1632</v>
      </c>
      <c r="AE2" s="359" t="s">
        <v>1631</v>
      </c>
      <c r="AF2" s="359" t="s">
        <v>1632</v>
      </c>
      <c r="AG2" s="359" t="s">
        <v>1631</v>
      </c>
      <c r="AH2" s="359" t="s">
        <v>1632</v>
      </c>
      <c r="AI2" s="359" t="s">
        <v>1631</v>
      </c>
      <c r="AJ2" s="359" t="s">
        <v>1632</v>
      </c>
      <c r="AK2" s="359" t="s">
        <v>1631</v>
      </c>
      <c r="AL2" s="359" t="s">
        <v>1632</v>
      </c>
      <c r="AM2" s="359" t="s">
        <v>1631</v>
      </c>
      <c r="AN2" s="359" t="s">
        <v>1632</v>
      </c>
      <c r="AO2" s="359" t="s">
        <v>1631</v>
      </c>
      <c r="AP2" s="359" t="s">
        <v>1632</v>
      </c>
      <c r="AQ2" s="359" t="s">
        <v>1631</v>
      </c>
      <c r="AR2" s="359" t="s">
        <v>1632</v>
      </c>
      <c r="AS2" s="359" t="s">
        <v>1631</v>
      </c>
      <c r="AT2" s="359" t="s">
        <v>1632</v>
      </c>
      <c r="AU2" s="359" t="s">
        <v>1631</v>
      </c>
      <c r="AV2" s="359" t="s">
        <v>1632</v>
      </c>
      <c r="AW2" s="359" t="s">
        <v>1631</v>
      </c>
      <c r="AX2" s="359" t="s">
        <v>1632</v>
      </c>
      <c r="AY2" s="359" t="s">
        <v>1631</v>
      </c>
      <c r="AZ2" s="359" t="s">
        <v>1632</v>
      </c>
      <c r="BA2" s="359" t="s">
        <v>1631</v>
      </c>
      <c r="BB2" s="359" t="s">
        <v>1632</v>
      </c>
      <c r="BC2" s="359" t="s">
        <v>1631</v>
      </c>
      <c r="BD2" s="359" t="s">
        <v>1632</v>
      </c>
      <c r="BE2" s="359" t="s">
        <v>1631</v>
      </c>
      <c r="BF2" s="359" t="s">
        <v>1632</v>
      </c>
      <c r="BG2" s="359" t="s">
        <v>1631</v>
      </c>
      <c r="BH2" s="359" t="s">
        <v>1632</v>
      </c>
      <c r="BI2" s="359" t="s">
        <v>1631</v>
      </c>
      <c r="BJ2" s="359" t="s">
        <v>1632</v>
      </c>
      <c r="BK2" s="359" t="s">
        <v>1631</v>
      </c>
      <c r="BL2" s="359" t="s">
        <v>1632</v>
      </c>
      <c r="BM2" s="359" t="s">
        <v>1631</v>
      </c>
      <c r="BN2" s="359" t="s">
        <v>1632</v>
      </c>
      <c r="BO2" s="359" t="s">
        <v>1631</v>
      </c>
      <c r="BP2" s="359" t="s">
        <v>1632</v>
      </c>
    </row>
    <row r="3" spans="1:68" s="2" customFormat="1" x14ac:dyDescent="0.2">
      <c r="A3" s="135">
        <v>1</v>
      </c>
      <c r="B3" s="136" t="s">
        <v>3</v>
      </c>
      <c r="C3" s="136"/>
      <c r="D3" s="136"/>
      <c r="E3" s="137">
        <f>SUM(E4,E14:E15)</f>
        <v>37878060</v>
      </c>
      <c r="F3" s="137">
        <f>SUM(F4,F14:F15)</f>
        <v>40067458.399999999</v>
      </c>
      <c r="G3" s="137">
        <f>SUM(G4,G13:G15)</f>
        <v>2525520</v>
      </c>
      <c r="H3" s="137">
        <f>SUM(H4,H14:H15)</f>
        <v>2669851.2000000002</v>
      </c>
      <c r="I3" s="137">
        <f t="shared" ref="I3:Z3" si="0">SUM(I4,I14:I15)</f>
        <v>1174320</v>
      </c>
      <c r="J3" s="137">
        <f t="shared" si="0"/>
        <v>1244059.2</v>
      </c>
      <c r="K3" s="137">
        <f t="shared" si="0"/>
        <v>1434720</v>
      </c>
      <c r="L3" s="137">
        <f t="shared" si="0"/>
        <v>1517203.2</v>
      </c>
      <c r="M3" s="137">
        <f t="shared" si="0"/>
        <v>2591880</v>
      </c>
      <c r="N3" s="137">
        <f t="shared" si="0"/>
        <v>2740192.8</v>
      </c>
      <c r="O3" s="137">
        <f t="shared" si="0"/>
        <v>1498440</v>
      </c>
      <c r="P3" s="137">
        <f t="shared" si="0"/>
        <v>1584746.4</v>
      </c>
      <c r="Q3" s="137">
        <f t="shared" si="0"/>
        <v>2054520</v>
      </c>
      <c r="R3" s="137">
        <f t="shared" si="0"/>
        <v>2173111.2000000002</v>
      </c>
      <c r="S3" s="137">
        <f t="shared" si="0"/>
        <v>1910040</v>
      </c>
      <c r="T3" s="137">
        <f t="shared" si="0"/>
        <v>2023922.4</v>
      </c>
      <c r="U3" s="137">
        <f t="shared" si="0"/>
        <v>2158560</v>
      </c>
      <c r="V3" s="137">
        <f t="shared" si="0"/>
        <v>2280873.6</v>
      </c>
      <c r="W3" s="137">
        <f t="shared" si="0"/>
        <v>1121640</v>
      </c>
      <c r="X3" s="137">
        <f t="shared" si="0"/>
        <v>1184258.3999999999</v>
      </c>
      <c r="Y3" s="137">
        <f t="shared" si="0"/>
        <v>1469280</v>
      </c>
      <c r="Z3" s="137">
        <f t="shared" si="0"/>
        <v>1556716.8</v>
      </c>
      <c r="AA3" s="137">
        <f t="shared" ref="AA3:BN3" si="1">SUM(AA4,AA14:AA15)</f>
        <v>1165920</v>
      </c>
      <c r="AB3" s="137">
        <f t="shared" si="1"/>
        <v>1238635.2</v>
      </c>
      <c r="AC3" s="137">
        <f t="shared" si="1"/>
        <v>2336520</v>
      </c>
      <c r="AD3" s="137">
        <f t="shared" si="1"/>
        <v>2472391.2000000002</v>
      </c>
      <c r="AE3" s="137">
        <f t="shared" si="1"/>
        <v>1761360</v>
      </c>
      <c r="AF3" s="137">
        <f t="shared" si="1"/>
        <v>1904721.6</v>
      </c>
      <c r="AG3" s="137">
        <f t="shared" si="1"/>
        <v>1728480</v>
      </c>
      <c r="AH3" s="137">
        <f t="shared" si="1"/>
        <v>1828588.8</v>
      </c>
      <c r="AI3" s="137">
        <f t="shared" si="1"/>
        <v>2955060</v>
      </c>
      <c r="AJ3" s="137">
        <f t="shared" si="1"/>
        <v>3138363.6</v>
      </c>
      <c r="AK3" s="137">
        <f t="shared" si="1"/>
        <v>1681320</v>
      </c>
      <c r="AL3" s="137">
        <f t="shared" si="1"/>
        <v>1723034</v>
      </c>
      <c r="AM3" s="137">
        <f t="shared" si="1"/>
        <v>1535400</v>
      </c>
      <c r="AN3" s="137">
        <f t="shared" si="1"/>
        <v>1623924</v>
      </c>
      <c r="AO3" s="137">
        <f t="shared" si="1"/>
        <v>0</v>
      </c>
      <c r="AP3" s="137">
        <f t="shared" si="1"/>
        <v>0</v>
      </c>
      <c r="AQ3" s="137">
        <f t="shared" si="1"/>
        <v>0</v>
      </c>
      <c r="AR3" s="137">
        <f t="shared" si="1"/>
        <v>0</v>
      </c>
      <c r="AS3" s="137">
        <f t="shared" si="1"/>
        <v>0</v>
      </c>
      <c r="AT3" s="137">
        <f t="shared" si="1"/>
        <v>0</v>
      </c>
      <c r="AU3" s="137">
        <f t="shared" si="1"/>
        <v>0</v>
      </c>
      <c r="AV3" s="137">
        <f t="shared" si="1"/>
        <v>0</v>
      </c>
      <c r="AW3" s="137">
        <f t="shared" si="1"/>
        <v>0</v>
      </c>
      <c r="AX3" s="137">
        <f t="shared" si="1"/>
        <v>0</v>
      </c>
      <c r="AY3" s="137">
        <f t="shared" si="1"/>
        <v>0</v>
      </c>
      <c r="AZ3" s="137">
        <f t="shared" si="1"/>
        <v>0</v>
      </c>
      <c r="BA3" s="137">
        <f t="shared" si="1"/>
        <v>0</v>
      </c>
      <c r="BB3" s="137">
        <f t="shared" si="1"/>
        <v>0</v>
      </c>
      <c r="BC3" s="137">
        <f t="shared" si="1"/>
        <v>0</v>
      </c>
      <c r="BD3" s="137">
        <f t="shared" si="1"/>
        <v>0</v>
      </c>
      <c r="BE3" s="137">
        <f t="shared" si="1"/>
        <v>0</v>
      </c>
      <c r="BF3" s="137">
        <f t="shared" si="1"/>
        <v>0</v>
      </c>
      <c r="BG3" s="137">
        <f t="shared" si="1"/>
        <v>0</v>
      </c>
      <c r="BH3" s="137">
        <f t="shared" si="1"/>
        <v>0</v>
      </c>
      <c r="BI3" s="137">
        <f t="shared" si="1"/>
        <v>0</v>
      </c>
      <c r="BJ3" s="137">
        <f t="shared" si="1"/>
        <v>0</v>
      </c>
      <c r="BK3" s="137">
        <f t="shared" si="1"/>
        <v>0</v>
      </c>
      <c r="BL3" s="137">
        <f t="shared" si="1"/>
        <v>0</v>
      </c>
      <c r="BM3" s="137">
        <f t="shared" si="1"/>
        <v>2268840</v>
      </c>
      <c r="BN3" s="137">
        <f t="shared" si="1"/>
        <v>2397770.4</v>
      </c>
      <c r="BO3" s="137">
        <f>SUM(BO4,BO14:BO15)</f>
        <v>4506240</v>
      </c>
      <c r="BP3" s="137">
        <f>SUM(BP4,BP14:BP15)</f>
        <v>4765094.4000000004</v>
      </c>
    </row>
    <row r="4" spans="1:68" s="2" customFormat="1" x14ac:dyDescent="0.2">
      <c r="A4" s="175"/>
      <c r="B4" s="176" t="s">
        <v>158</v>
      </c>
      <c r="C4" s="88"/>
      <c r="D4" s="177"/>
      <c r="E4" s="178">
        <f>SUM(E5:E13)</f>
        <v>37848060</v>
      </c>
      <c r="F4" s="178">
        <f>SUM(F5:F13)</f>
        <v>40037458.399999999</v>
      </c>
      <c r="G4" s="178">
        <f>SUM(G5:G13)</f>
        <v>2525520</v>
      </c>
      <c r="H4" s="178">
        <f>SUM(H5:H13)</f>
        <v>2669851.2000000002</v>
      </c>
      <c r="I4" s="178">
        <f t="shared" ref="I4:Z4" si="2">SUM(I5:I13)</f>
        <v>1174320</v>
      </c>
      <c r="J4" s="178">
        <f t="shared" si="2"/>
        <v>1244059.2</v>
      </c>
      <c r="K4" s="178">
        <f t="shared" si="2"/>
        <v>1434720</v>
      </c>
      <c r="L4" s="178">
        <f t="shared" si="2"/>
        <v>1517203.2</v>
      </c>
      <c r="M4" s="178">
        <f t="shared" si="2"/>
        <v>2591880</v>
      </c>
      <c r="N4" s="178">
        <f t="shared" si="2"/>
        <v>2740192.8</v>
      </c>
      <c r="O4" s="178">
        <f t="shared" si="2"/>
        <v>1498440</v>
      </c>
      <c r="P4" s="178">
        <f t="shared" si="2"/>
        <v>1584746.4</v>
      </c>
      <c r="Q4" s="178">
        <f t="shared" si="2"/>
        <v>2054520</v>
      </c>
      <c r="R4" s="178">
        <f t="shared" si="2"/>
        <v>2173111.2000000002</v>
      </c>
      <c r="S4" s="178">
        <f t="shared" si="2"/>
        <v>1910040</v>
      </c>
      <c r="T4" s="178">
        <f t="shared" si="2"/>
        <v>2023922.4</v>
      </c>
      <c r="U4" s="178">
        <f t="shared" si="2"/>
        <v>2158560</v>
      </c>
      <c r="V4" s="178">
        <f t="shared" si="2"/>
        <v>2280873.6</v>
      </c>
      <c r="W4" s="178">
        <f t="shared" si="2"/>
        <v>1121640</v>
      </c>
      <c r="X4" s="178">
        <f t="shared" si="2"/>
        <v>1184258.3999999999</v>
      </c>
      <c r="Y4" s="178">
        <f t="shared" si="2"/>
        <v>1469280</v>
      </c>
      <c r="Z4" s="178">
        <f t="shared" si="2"/>
        <v>1556716.8</v>
      </c>
      <c r="AA4" s="178">
        <f t="shared" ref="AA4:BN4" si="3">SUM(AA5:AA13)</f>
        <v>1165920</v>
      </c>
      <c r="AB4" s="178">
        <f t="shared" si="3"/>
        <v>1238635.2</v>
      </c>
      <c r="AC4" s="178">
        <f t="shared" si="3"/>
        <v>2336520</v>
      </c>
      <c r="AD4" s="178">
        <f t="shared" si="3"/>
        <v>2472391.2000000002</v>
      </c>
      <c r="AE4" s="178">
        <f t="shared" si="3"/>
        <v>1761360</v>
      </c>
      <c r="AF4" s="178">
        <f t="shared" si="3"/>
        <v>1904721.6</v>
      </c>
      <c r="AG4" s="178">
        <f t="shared" si="3"/>
        <v>1728480</v>
      </c>
      <c r="AH4" s="178">
        <f t="shared" si="3"/>
        <v>1828588.8</v>
      </c>
      <c r="AI4" s="178">
        <f t="shared" si="3"/>
        <v>2955060</v>
      </c>
      <c r="AJ4" s="178">
        <f t="shared" si="3"/>
        <v>3138363.6</v>
      </c>
      <c r="AK4" s="178">
        <f t="shared" si="3"/>
        <v>1681320</v>
      </c>
      <c r="AL4" s="178">
        <f t="shared" si="3"/>
        <v>1723034</v>
      </c>
      <c r="AM4" s="178">
        <f t="shared" si="3"/>
        <v>1535400</v>
      </c>
      <c r="AN4" s="178">
        <f t="shared" si="3"/>
        <v>1623924</v>
      </c>
      <c r="AO4" s="178">
        <f t="shared" si="3"/>
        <v>0</v>
      </c>
      <c r="AP4" s="178">
        <f t="shared" si="3"/>
        <v>0</v>
      </c>
      <c r="AQ4" s="178">
        <f t="shared" si="3"/>
        <v>0</v>
      </c>
      <c r="AR4" s="178">
        <f t="shared" si="3"/>
        <v>0</v>
      </c>
      <c r="AS4" s="178">
        <f t="shared" si="3"/>
        <v>0</v>
      </c>
      <c r="AT4" s="178">
        <f t="shared" si="3"/>
        <v>0</v>
      </c>
      <c r="AU4" s="178">
        <f t="shared" si="3"/>
        <v>0</v>
      </c>
      <c r="AV4" s="178">
        <f t="shared" si="3"/>
        <v>0</v>
      </c>
      <c r="AW4" s="178">
        <f t="shared" si="3"/>
        <v>0</v>
      </c>
      <c r="AX4" s="178">
        <f t="shared" si="3"/>
        <v>0</v>
      </c>
      <c r="AY4" s="178">
        <f t="shared" si="3"/>
        <v>0</v>
      </c>
      <c r="AZ4" s="178">
        <f t="shared" si="3"/>
        <v>0</v>
      </c>
      <c r="BA4" s="178">
        <f t="shared" si="3"/>
        <v>0</v>
      </c>
      <c r="BB4" s="178">
        <f t="shared" si="3"/>
        <v>0</v>
      </c>
      <c r="BC4" s="178">
        <f t="shared" si="3"/>
        <v>0</v>
      </c>
      <c r="BD4" s="178">
        <f t="shared" si="3"/>
        <v>0</v>
      </c>
      <c r="BE4" s="178">
        <f t="shared" si="3"/>
        <v>0</v>
      </c>
      <c r="BF4" s="178">
        <f t="shared" si="3"/>
        <v>0</v>
      </c>
      <c r="BG4" s="178">
        <f t="shared" si="3"/>
        <v>0</v>
      </c>
      <c r="BH4" s="178">
        <f t="shared" si="3"/>
        <v>0</v>
      </c>
      <c r="BI4" s="178">
        <f t="shared" si="3"/>
        <v>0</v>
      </c>
      <c r="BJ4" s="178">
        <f t="shared" si="3"/>
        <v>0</v>
      </c>
      <c r="BK4" s="178">
        <f t="shared" si="3"/>
        <v>0</v>
      </c>
      <c r="BL4" s="178">
        <f t="shared" si="3"/>
        <v>0</v>
      </c>
      <c r="BM4" s="178">
        <f t="shared" si="3"/>
        <v>2268840</v>
      </c>
      <c r="BN4" s="178">
        <f t="shared" si="3"/>
        <v>2397770.4</v>
      </c>
      <c r="BO4" s="178">
        <f>SUM(BO5:BO13)</f>
        <v>4476240</v>
      </c>
      <c r="BP4" s="178">
        <f>SUM(BP5:BP13)</f>
        <v>4735094.4000000004</v>
      </c>
    </row>
    <row r="5" spans="1:68" x14ac:dyDescent="0.2">
      <c r="A5" s="10"/>
      <c r="B5" s="10"/>
      <c r="C5" s="387" t="s">
        <v>52</v>
      </c>
      <c r="D5" s="7"/>
      <c r="E5" s="381">
        <f t="shared" ref="E5:F15" si="4">SUMIF($G$2:$BP$2,E$2,($G5:$BP5))</f>
        <v>36173760</v>
      </c>
      <c r="F5" s="381">
        <f t="shared" si="4"/>
        <v>38288620.399999999</v>
      </c>
      <c r="G5" s="440">
        <f>200460*12</f>
        <v>2405520</v>
      </c>
      <c r="H5" s="440">
        <f>G5+(G5*6%)</f>
        <v>2549851.2000000002</v>
      </c>
      <c r="I5" s="440">
        <f>96860*12</f>
        <v>1162320</v>
      </c>
      <c r="J5" s="440">
        <f>I5+(I5*6%)</f>
        <v>1232059.2</v>
      </c>
      <c r="K5" s="440">
        <f>114560*12</f>
        <v>1374720</v>
      </c>
      <c r="L5" s="440">
        <f>K5+(K5*6%)</f>
        <v>1457203.2</v>
      </c>
      <c r="M5" s="440">
        <f>205990*12</f>
        <v>2471880</v>
      </c>
      <c r="N5" s="440">
        <f>M5+(M5*6%)</f>
        <v>2620192.7999999998</v>
      </c>
      <c r="O5" s="440">
        <f>119870*12</f>
        <v>1438440</v>
      </c>
      <c r="P5" s="440">
        <f>O5+(O5*6%)</f>
        <v>1524746.4</v>
      </c>
      <c r="Q5" s="440">
        <f>164710*12</f>
        <v>1976520</v>
      </c>
      <c r="R5" s="440">
        <f>Q5+(Q5*6%)</f>
        <v>2095111.2</v>
      </c>
      <c r="S5" s="440">
        <f>158170*12</f>
        <v>1898040</v>
      </c>
      <c r="T5" s="440">
        <f>S5+(S5*6%)</f>
        <v>2011922.4</v>
      </c>
      <c r="U5" s="440">
        <f>169880*12</f>
        <v>2038560</v>
      </c>
      <c r="V5" s="440">
        <f>U5+(U5*6%)</f>
        <v>2160873.6</v>
      </c>
      <c r="W5" s="440">
        <f>(145360-58390)*12</f>
        <v>1043640</v>
      </c>
      <c r="X5" s="440">
        <f>W5+(W5*6%)</f>
        <v>1106258.3999999999</v>
      </c>
      <c r="Y5" s="440">
        <f>121440*12</f>
        <v>1457280</v>
      </c>
      <c r="Z5" s="440">
        <f>Y5+(Y5*6%)</f>
        <v>1544716.8</v>
      </c>
      <c r="AA5" s="440">
        <f>92660*12</f>
        <v>1111920</v>
      </c>
      <c r="AB5" s="440">
        <f>AA5+(AA5*6%)</f>
        <v>1178635.2</v>
      </c>
      <c r="AC5" s="440">
        <f>188710*12</f>
        <v>2264520</v>
      </c>
      <c r="AD5" s="440">
        <f>AC5+(AC5*6%)</f>
        <v>2400391.2000000002</v>
      </c>
      <c r="AE5" s="440">
        <f>140780*12</f>
        <v>1689360</v>
      </c>
      <c r="AF5" s="440">
        <f>AE5+(AE5*6%)</f>
        <v>1790721.6</v>
      </c>
      <c r="AG5" s="440">
        <f>139040*12</f>
        <v>1668480</v>
      </c>
      <c r="AH5" s="440">
        <f>AG5+(AG5*6%)</f>
        <v>1768588.8</v>
      </c>
      <c r="AI5" s="440">
        <f>217730*12</f>
        <v>2612760</v>
      </c>
      <c r="AJ5" s="440">
        <f>AI5+(AI5*6%)</f>
        <v>2769525.6</v>
      </c>
      <c r="AK5" s="440">
        <f>135110*12</f>
        <v>1621320</v>
      </c>
      <c r="AL5" s="440">
        <f>(AK5-52420)+((AK5-52420)*6%)</f>
        <v>1663034</v>
      </c>
      <c r="AM5" s="440">
        <f>122950*12</f>
        <v>1475400</v>
      </c>
      <c r="AN5" s="440">
        <f>AM5+(AM5*6%)</f>
        <v>1563924</v>
      </c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81"/>
      <c r="BK5" s="440">
        <v>0</v>
      </c>
      <c r="BL5" s="440">
        <f>BK5+(BK5*6%)</f>
        <v>0</v>
      </c>
      <c r="BM5" s="440">
        <f>179070*12</f>
        <v>2148840</v>
      </c>
      <c r="BN5" s="440">
        <f>BM5+(BM5*6%)</f>
        <v>2277770.4</v>
      </c>
      <c r="BO5" s="440">
        <f>359520*12</f>
        <v>4314240</v>
      </c>
      <c r="BP5" s="440">
        <f>BO5+(BO5*6%)</f>
        <v>4573094.4000000004</v>
      </c>
    </row>
    <row r="6" spans="1:68" x14ac:dyDescent="0.2">
      <c r="A6" s="10"/>
      <c r="B6" s="10"/>
      <c r="C6" s="387" t="s">
        <v>53</v>
      </c>
      <c r="D6" s="7"/>
      <c r="E6" s="381">
        <f t="shared" si="4"/>
        <v>924000</v>
      </c>
      <c r="F6" s="381">
        <f t="shared" si="4"/>
        <v>966000</v>
      </c>
      <c r="G6" s="440">
        <f>7000*12</f>
        <v>84000</v>
      </c>
      <c r="H6" s="440">
        <v>84000</v>
      </c>
      <c r="I6" s="440">
        <v>0</v>
      </c>
      <c r="J6" s="440">
        <v>0</v>
      </c>
      <c r="K6" s="440">
        <f>3500*12</f>
        <v>42000</v>
      </c>
      <c r="L6" s="440">
        <v>42000</v>
      </c>
      <c r="M6" s="440">
        <f>7000*12</f>
        <v>84000</v>
      </c>
      <c r="N6" s="440">
        <v>84000</v>
      </c>
      <c r="O6" s="440">
        <f>3500*12</f>
        <v>42000</v>
      </c>
      <c r="P6" s="440">
        <v>42000</v>
      </c>
      <c r="Q6" s="440">
        <f>3500*12</f>
        <v>42000</v>
      </c>
      <c r="R6" s="440">
        <v>42000</v>
      </c>
      <c r="S6" s="440">
        <v>0</v>
      </c>
      <c r="T6" s="440">
        <v>0</v>
      </c>
      <c r="U6" s="440">
        <v>84000</v>
      </c>
      <c r="V6" s="440">
        <v>84000</v>
      </c>
      <c r="W6" s="440">
        <f>3500*12</f>
        <v>42000</v>
      </c>
      <c r="X6" s="440">
        <v>42000</v>
      </c>
      <c r="Y6" s="440">
        <v>0</v>
      </c>
      <c r="Z6" s="440">
        <v>0</v>
      </c>
      <c r="AA6" s="440">
        <v>42000</v>
      </c>
      <c r="AB6" s="440">
        <v>42000</v>
      </c>
      <c r="AC6" s="440">
        <f>3500*12</f>
        <v>42000</v>
      </c>
      <c r="AD6" s="440">
        <v>42000</v>
      </c>
      <c r="AE6" s="440">
        <v>42000</v>
      </c>
      <c r="AF6" s="440">
        <v>84000</v>
      </c>
      <c r="AG6" s="440">
        <v>42000</v>
      </c>
      <c r="AH6" s="440">
        <v>42000</v>
      </c>
      <c r="AI6" s="440">
        <f>3500*12</f>
        <v>42000</v>
      </c>
      <c r="AJ6" s="440">
        <v>42000</v>
      </c>
      <c r="AK6" s="440">
        <v>42000</v>
      </c>
      <c r="AL6" s="440">
        <v>42000</v>
      </c>
      <c r="AM6" s="440">
        <v>42000</v>
      </c>
      <c r="AN6" s="440">
        <v>42000</v>
      </c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440">
        <v>0</v>
      </c>
      <c r="BL6" s="440">
        <v>0</v>
      </c>
      <c r="BM6" s="440">
        <f>7000*12</f>
        <v>84000</v>
      </c>
      <c r="BN6" s="440">
        <v>84000</v>
      </c>
      <c r="BO6" s="440">
        <f>10500*12</f>
        <v>126000</v>
      </c>
      <c r="BP6" s="440">
        <v>126000</v>
      </c>
    </row>
    <row r="7" spans="1:68" x14ac:dyDescent="0.2">
      <c r="A7" s="10"/>
      <c r="B7" s="10"/>
      <c r="C7" s="387" t="s">
        <v>54</v>
      </c>
      <c r="D7" s="7"/>
      <c r="E7" s="381">
        <f t="shared" si="4"/>
        <v>282300</v>
      </c>
      <c r="F7" s="381">
        <f t="shared" si="4"/>
        <v>299238</v>
      </c>
      <c r="G7" s="440">
        <v>0</v>
      </c>
      <c r="H7" s="440">
        <v>0</v>
      </c>
      <c r="I7" s="440">
        <v>0</v>
      </c>
      <c r="J7" s="440">
        <v>0</v>
      </c>
      <c r="K7" s="440">
        <v>0</v>
      </c>
      <c r="L7" s="440">
        <v>0</v>
      </c>
      <c r="M7" s="440">
        <v>0</v>
      </c>
      <c r="N7" s="440">
        <v>0</v>
      </c>
      <c r="O7" s="440">
        <v>0</v>
      </c>
      <c r="P7" s="440">
        <v>0</v>
      </c>
      <c r="Q7" s="440">
        <v>0</v>
      </c>
      <c r="R7" s="440">
        <v>0</v>
      </c>
      <c r="S7" s="440">
        <v>0</v>
      </c>
      <c r="T7" s="440">
        <v>0</v>
      </c>
      <c r="U7" s="440">
        <v>0</v>
      </c>
      <c r="V7" s="440">
        <v>0</v>
      </c>
      <c r="W7" s="440">
        <v>0</v>
      </c>
      <c r="X7" s="440">
        <v>0</v>
      </c>
      <c r="Y7" s="440">
        <v>0</v>
      </c>
      <c r="Z7" s="440">
        <v>0</v>
      </c>
      <c r="AA7" s="440">
        <v>0</v>
      </c>
      <c r="AB7" s="440">
        <v>0</v>
      </c>
      <c r="AC7" s="440">
        <v>0</v>
      </c>
      <c r="AD7" s="440">
        <v>0</v>
      </c>
      <c r="AE7" s="440">
        <v>0</v>
      </c>
      <c r="AF7" s="440">
        <v>0</v>
      </c>
      <c r="AG7" s="440">
        <v>0</v>
      </c>
      <c r="AH7" s="440">
        <v>0</v>
      </c>
      <c r="AI7" s="440">
        <v>282300</v>
      </c>
      <c r="AJ7" s="440">
        <v>299238</v>
      </c>
      <c r="AK7" s="440">
        <v>0</v>
      </c>
      <c r="AL7" s="440">
        <v>0</v>
      </c>
      <c r="AM7" s="440">
        <v>0</v>
      </c>
      <c r="AN7" s="440">
        <v>0</v>
      </c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  <c r="BD7" s="381"/>
      <c r="BE7" s="381"/>
      <c r="BF7" s="381"/>
      <c r="BG7" s="381"/>
      <c r="BH7" s="381"/>
      <c r="BI7" s="381"/>
      <c r="BJ7" s="381"/>
      <c r="BK7" s="440">
        <v>0</v>
      </c>
      <c r="BL7" s="440">
        <v>0</v>
      </c>
      <c r="BM7" s="440">
        <v>0</v>
      </c>
      <c r="BN7" s="440">
        <v>0</v>
      </c>
      <c r="BO7" s="440">
        <v>0</v>
      </c>
      <c r="BP7" s="440">
        <v>0</v>
      </c>
    </row>
    <row r="8" spans="1:68" x14ac:dyDescent="0.2">
      <c r="A8" s="10"/>
      <c r="B8" s="10"/>
      <c r="C8" s="387" t="s">
        <v>55</v>
      </c>
      <c r="D8" s="7"/>
      <c r="E8" s="381">
        <f t="shared" si="4"/>
        <v>0</v>
      </c>
      <c r="F8" s="381">
        <f t="shared" si="4"/>
        <v>0</v>
      </c>
      <c r="G8" s="440">
        <v>0</v>
      </c>
      <c r="H8" s="440">
        <v>0</v>
      </c>
      <c r="I8" s="440">
        <v>0</v>
      </c>
      <c r="J8" s="440">
        <v>0</v>
      </c>
      <c r="K8" s="440">
        <v>0</v>
      </c>
      <c r="L8" s="440">
        <v>0</v>
      </c>
      <c r="M8" s="440">
        <v>0</v>
      </c>
      <c r="N8" s="440">
        <v>0</v>
      </c>
      <c r="O8" s="440">
        <v>0</v>
      </c>
      <c r="P8" s="440">
        <v>0</v>
      </c>
      <c r="Q8" s="440">
        <v>0</v>
      </c>
      <c r="R8" s="440">
        <v>0</v>
      </c>
      <c r="S8" s="440">
        <v>0</v>
      </c>
      <c r="T8" s="440">
        <v>0</v>
      </c>
      <c r="U8" s="440">
        <v>0</v>
      </c>
      <c r="V8" s="440">
        <v>0</v>
      </c>
      <c r="W8" s="440">
        <v>0</v>
      </c>
      <c r="X8" s="440">
        <v>0</v>
      </c>
      <c r="Y8" s="440">
        <v>0</v>
      </c>
      <c r="Z8" s="440">
        <v>0</v>
      </c>
      <c r="AA8" s="440">
        <v>0</v>
      </c>
      <c r="AB8" s="440">
        <v>0</v>
      </c>
      <c r="AC8" s="440">
        <v>0</v>
      </c>
      <c r="AD8" s="440">
        <v>0</v>
      </c>
      <c r="AE8" s="440">
        <v>0</v>
      </c>
      <c r="AF8" s="440">
        <v>0</v>
      </c>
      <c r="AG8" s="440">
        <v>0</v>
      </c>
      <c r="AH8" s="440">
        <v>0</v>
      </c>
      <c r="AI8" s="440">
        <v>0</v>
      </c>
      <c r="AJ8" s="440">
        <v>0</v>
      </c>
      <c r="AK8" s="440">
        <v>0</v>
      </c>
      <c r="AL8" s="440">
        <v>0</v>
      </c>
      <c r="AM8" s="440">
        <v>0</v>
      </c>
      <c r="AN8" s="440">
        <v>0</v>
      </c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440">
        <v>0</v>
      </c>
      <c r="BL8" s="440">
        <v>0</v>
      </c>
      <c r="BM8" s="440">
        <v>0</v>
      </c>
      <c r="BN8" s="440">
        <v>0</v>
      </c>
      <c r="BO8" s="440">
        <v>0</v>
      </c>
      <c r="BP8" s="440">
        <v>0</v>
      </c>
    </row>
    <row r="9" spans="1:68" x14ac:dyDescent="0.2">
      <c r="A9" s="10"/>
      <c r="B9" s="10"/>
      <c r="C9" s="387" t="s">
        <v>56</v>
      </c>
      <c r="D9" s="7"/>
      <c r="E9" s="381">
        <f t="shared" si="4"/>
        <v>0</v>
      </c>
      <c r="F9" s="381">
        <f t="shared" si="4"/>
        <v>0</v>
      </c>
      <c r="G9" s="440">
        <v>0</v>
      </c>
      <c r="H9" s="440">
        <v>0</v>
      </c>
      <c r="I9" s="440">
        <v>0</v>
      </c>
      <c r="J9" s="440">
        <v>0</v>
      </c>
      <c r="K9" s="440">
        <v>0</v>
      </c>
      <c r="L9" s="440">
        <v>0</v>
      </c>
      <c r="M9" s="440">
        <v>0</v>
      </c>
      <c r="N9" s="440">
        <v>0</v>
      </c>
      <c r="O9" s="440">
        <v>0</v>
      </c>
      <c r="P9" s="440">
        <v>0</v>
      </c>
      <c r="Q9" s="440">
        <v>0</v>
      </c>
      <c r="R9" s="440">
        <v>0</v>
      </c>
      <c r="S9" s="440">
        <v>0</v>
      </c>
      <c r="T9" s="440">
        <v>0</v>
      </c>
      <c r="U9" s="440">
        <v>0</v>
      </c>
      <c r="V9" s="440">
        <v>0</v>
      </c>
      <c r="W9" s="440">
        <v>0</v>
      </c>
      <c r="X9" s="440">
        <v>0</v>
      </c>
      <c r="Y9" s="440">
        <v>0</v>
      </c>
      <c r="Z9" s="440">
        <v>0</v>
      </c>
      <c r="AA9" s="440">
        <v>0</v>
      </c>
      <c r="AB9" s="440">
        <v>0</v>
      </c>
      <c r="AC9" s="440">
        <v>0</v>
      </c>
      <c r="AD9" s="440">
        <v>0</v>
      </c>
      <c r="AE9" s="440">
        <v>0</v>
      </c>
      <c r="AF9" s="440">
        <v>0</v>
      </c>
      <c r="AG9" s="440">
        <v>0</v>
      </c>
      <c r="AH9" s="440">
        <v>0</v>
      </c>
      <c r="AI9" s="440">
        <v>0</v>
      </c>
      <c r="AJ9" s="440">
        <v>0</v>
      </c>
      <c r="AK9" s="440">
        <v>0</v>
      </c>
      <c r="AL9" s="440">
        <v>0</v>
      </c>
      <c r="AM9" s="440">
        <v>0</v>
      </c>
      <c r="AN9" s="440">
        <v>0</v>
      </c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  <c r="BD9" s="381"/>
      <c r="BE9" s="381"/>
      <c r="BF9" s="381"/>
      <c r="BG9" s="381"/>
      <c r="BH9" s="381"/>
      <c r="BI9" s="381"/>
      <c r="BJ9" s="381"/>
      <c r="BK9" s="440">
        <v>0</v>
      </c>
      <c r="BL9" s="440">
        <v>0</v>
      </c>
      <c r="BM9" s="440">
        <v>0</v>
      </c>
      <c r="BN9" s="440">
        <v>0</v>
      </c>
      <c r="BO9" s="440">
        <v>0</v>
      </c>
      <c r="BP9" s="440">
        <v>0</v>
      </c>
    </row>
    <row r="10" spans="1:68" s="2" customFormat="1" x14ac:dyDescent="0.2">
      <c r="A10" s="10"/>
      <c r="B10" s="10"/>
      <c r="C10" s="387" t="s">
        <v>1159</v>
      </c>
      <c r="D10" s="7"/>
      <c r="E10" s="381">
        <f t="shared" si="4"/>
        <v>0</v>
      </c>
      <c r="F10" s="381">
        <f t="shared" si="4"/>
        <v>0</v>
      </c>
      <c r="G10" s="440">
        <v>0</v>
      </c>
      <c r="H10" s="440">
        <v>0</v>
      </c>
      <c r="I10" s="440">
        <v>0</v>
      </c>
      <c r="J10" s="440">
        <v>0</v>
      </c>
      <c r="K10" s="440">
        <v>0</v>
      </c>
      <c r="L10" s="440">
        <v>0</v>
      </c>
      <c r="M10" s="440">
        <v>0</v>
      </c>
      <c r="N10" s="440">
        <v>0</v>
      </c>
      <c r="O10" s="440">
        <v>0</v>
      </c>
      <c r="P10" s="440">
        <v>0</v>
      </c>
      <c r="Q10" s="440">
        <v>0</v>
      </c>
      <c r="R10" s="440">
        <v>0</v>
      </c>
      <c r="S10" s="440">
        <v>0</v>
      </c>
      <c r="T10" s="440">
        <v>0</v>
      </c>
      <c r="U10" s="440">
        <v>0</v>
      </c>
      <c r="V10" s="440">
        <v>0</v>
      </c>
      <c r="W10" s="440">
        <v>0</v>
      </c>
      <c r="X10" s="440">
        <v>0</v>
      </c>
      <c r="Y10" s="440">
        <v>0</v>
      </c>
      <c r="Z10" s="440">
        <v>0</v>
      </c>
      <c r="AA10" s="440">
        <v>0</v>
      </c>
      <c r="AB10" s="440">
        <v>0</v>
      </c>
      <c r="AC10" s="440">
        <v>0</v>
      </c>
      <c r="AD10" s="440">
        <v>0</v>
      </c>
      <c r="AE10" s="440">
        <v>0</v>
      </c>
      <c r="AF10" s="440">
        <v>0</v>
      </c>
      <c r="AG10" s="440">
        <v>0</v>
      </c>
      <c r="AH10" s="440">
        <v>0</v>
      </c>
      <c r="AI10" s="440">
        <v>0</v>
      </c>
      <c r="AJ10" s="440">
        <v>0</v>
      </c>
      <c r="AK10" s="440">
        <v>0</v>
      </c>
      <c r="AL10" s="440">
        <v>0</v>
      </c>
      <c r="AM10" s="440">
        <v>0</v>
      </c>
      <c r="AN10" s="440">
        <v>0</v>
      </c>
      <c r="AO10" s="381"/>
      <c r="AP10" s="381"/>
      <c r="AQ10" s="381"/>
      <c r="AR10" s="381"/>
      <c r="AS10" s="381"/>
      <c r="AT10" s="381"/>
      <c r="AU10" s="381"/>
      <c r="AV10" s="381"/>
      <c r="AW10" s="381"/>
      <c r="AX10" s="381"/>
      <c r="AY10" s="381"/>
      <c r="AZ10" s="381"/>
      <c r="BA10" s="381"/>
      <c r="BB10" s="381"/>
      <c r="BC10" s="381"/>
      <c r="BD10" s="381"/>
      <c r="BE10" s="381"/>
      <c r="BF10" s="381"/>
      <c r="BG10" s="381"/>
      <c r="BH10" s="381"/>
      <c r="BI10" s="381"/>
      <c r="BJ10" s="381"/>
      <c r="BK10" s="440">
        <v>0</v>
      </c>
      <c r="BL10" s="440">
        <v>0</v>
      </c>
      <c r="BM10" s="440">
        <v>0</v>
      </c>
      <c r="BN10" s="440">
        <v>0</v>
      </c>
      <c r="BO10" s="440">
        <v>0</v>
      </c>
      <c r="BP10" s="440">
        <v>0</v>
      </c>
    </row>
    <row r="11" spans="1:68" x14ac:dyDescent="0.2">
      <c r="A11" s="10"/>
      <c r="B11" s="10"/>
      <c r="C11" s="387" t="s">
        <v>1160</v>
      </c>
      <c r="D11" s="13"/>
      <c r="E11" s="381">
        <f t="shared" si="4"/>
        <v>0</v>
      </c>
      <c r="F11" s="381">
        <f t="shared" si="4"/>
        <v>0</v>
      </c>
      <c r="G11" s="440">
        <v>0</v>
      </c>
      <c r="H11" s="440">
        <v>0</v>
      </c>
      <c r="I11" s="440">
        <v>0</v>
      </c>
      <c r="J11" s="440">
        <v>0</v>
      </c>
      <c r="K11" s="440">
        <v>0</v>
      </c>
      <c r="L11" s="440">
        <v>0</v>
      </c>
      <c r="M11" s="440">
        <v>0</v>
      </c>
      <c r="N11" s="440">
        <v>0</v>
      </c>
      <c r="O11" s="440">
        <v>0</v>
      </c>
      <c r="P11" s="440">
        <v>0</v>
      </c>
      <c r="Q11" s="440">
        <v>0</v>
      </c>
      <c r="R11" s="440">
        <v>0</v>
      </c>
      <c r="S11" s="440">
        <v>0</v>
      </c>
      <c r="T11" s="440">
        <v>0</v>
      </c>
      <c r="U11" s="440">
        <v>0</v>
      </c>
      <c r="V11" s="440">
        <v>0</v>
      </c>
      <c r="W11" s="440">
        <v>0</v>
      </c>
      <c r="X11" s="440">
        <v>0</v>
      </c>
      <c r="Y11" s="440">
        <v>0</v>
      </c>
      <c r="Z11" s="440">
        <v>0</v>
      </c>
      <c r="AA11" s="440">
        <v>0</v>
      </c>
      <c r="AB11" s="440">
        <v>0</v>
      </c>
      <c r="AC11" s="440">
        <v>0</v>
      </c>
      <c r="AD11" s="440">
        <v>0</v>
      </c>
      <c r="AE11" s="440">
        <v>0</v>
      </c>
      <c r="AF11" s="440">
        <v>0</v>
      </c>
      <c r="AG11" s="440">
        <v>0</v>
      </c>
      <c r="AH11" s="440">
        <v>0</v>
      </c>
      <c r="AI11" s="440">
        <v>0</v>
      </c>
      <c r="AJ11" s="440">
        <v>0</v>
      </c>
      <c r="AK11" s="440">
        <v>0</v>
      </c>
      <c r="AL11" s="440">
        <v>0</v>
      </c>
      <c r="AM11" s="440">
        <v>0</v>
      </c>
      <c r="AN11" s="440">
        <v>0</v>
      </c>
      <c r="AO11" s="381"/>
      <c r="AP11" s="381"/>
      <c r="AQ11" s="381"/>
      <c r="AR11" s="381"/>
      <c r="AS11" s="381"/>
      <c r="AT11" s="381"/>
      <c r="AU11" s="381"/>
      <c r="AV11" s="381"/>
      <c r="AW11" s="381"/>
      <c r="AX11" s="381"/>
      <c r="AY11" s="381"/>
      <c r="AZ11" s="381"/>
      <c r="BA11" s="381"/>
      <c r="BB11" s="381"/>
      <c r="BC11" s="381"/>
      <c r="BD11" s="381"/>
      <c r="BE11" s="381"/>
      <c r="BF11" s="381"/>
      <c r="BG11" s="381"/>
      <c r="BH11" s="381"/>
      <c r="BI11" s="381"/>
      <c r="BJ11" s="381"/>
      <c r="BK11" s="440">
        <v>0</v>
      </c>
      <c r="BL11" s="440">
        <v>0</v>
      </c>
      <c r="BM11" s="440">
        <v>0</v>
      </c>
      <c r="BN11" s="440">
        <v>0</v>
      </c>
      <c r="BO11" s="440">
        <v>0</v>
      </c>
      <c r="BP11" s="440">
        <v>0</v>
      </c>
    </row>
    <row r="12" spans="1:68" x14ac:dyDescent="0.2">
      <c r="A12" s="10"/>
      <c r="B12" s="10"/>
      <c r="C12" s="387" t="s">
        <v>1161</v>
      </c>
      <c r="D12" s="13"/>
      <c r="E12" s="381">
        <f t="shared" si="4"/>
        <v>468000</v>
      </c>
      <c r="F12" s="381">
        <f t="shared" si="4"/>
        <v>483600</v>
      </c>
      <c r="G12" s="440">
        <f>3000*12</f>
        <v>36000</v>
      </c>
      <c r="H12" s="440">
        <v>36000</v>
      </c>
      <c r="I12" s="440">
        <v>12000</v>
      </c>
      <c r="J12" s="440">
        <v>12000</v>
      </c>
      <c r="K12" s="440">
        <v>18000</v>
      </c>
      <c r="L12" s="440">
        <f>1500*12</f>
        <v>18000</v>
      </c>
      <c r="M12" s="440">
        <f>3000*12</f>
        <v>36000</v>
      </c>
      <c r="N12" s="440">
        <v>36000</v>
      </c>
      <c r="O12" s="440">
        <f>1500*12</f>
        <v>18000</v>
      </c>
      <c r="P12" s="440">
        <v>18000</v>
      </c>
      <c r="Q12" s="440">
        <f>3000*12</f>
        <v>36000</v>
      </c>
      <c r="R12" s="440">
        <v>36000</v>
      </c>
      <c r="S12" s="440">
        <v>12000</v>
      </c>
      <c r="T12" s="440">
        <v>12000</v>
      </c>
      <c r="U12" s="440">
        <v>36000</v>
      </c>
      <c r="V12" s="440">
        <v>36000</v>
      </c>
      <c r="W12" s="440">
        <v>36000</v>
      </c>
      <c r="X12" s="440">
        <v>36000</v>
      </c>
      <c r="Y12" s="440">
        <v>12000</v>
      </c>
      <c r="Z12" s="440">
        <v>12000</v>
      </c>
      <c r="AA12" s="440">
        <v>12000</v>
      </c>
      <c r="AB12" s="440">
        <v>18000</v>
      </c>
      <c r="AC12" s="440">
        <f>2500*12</f>
        <v>30000</v>
      </c>
      <c r="AD12" s="440">
        <v>30000</v>
      </c>
      <c r="AE12" s="440">
        <f>2500*12</f>
        <v>30000</v>
      </c>
      <c r="AF12" s="440">
        <v>30000</v>
      </c>
      <c r="AG12" s="440">
        <f>1500*12</f>
        <v>18000</v>
      </c>
      <c r="AH12" s="440">
        <v>18000</v>
      </c>
      <c r="AI12" s="440">
        <v>18000</v>
      </c>
      <c r="AJ12" s="440">
        <f>2300*12</f>
        <v>27600</v>
      </c>
      <c r="AK12" s="440">
        <v>18000</v>
      </c>
      <c r="AL12" s="440">
        <v>18000</v>
      </c>
      <c r="AM12" s="440">
        <f>1500*12</f>
        <v>18000</v>
      </c>
      <c r="AN12" s="440">
        <v>18000</v>
      </c>
      <c r="AO12" s="381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1"/>
      <c r="BB12" s="381"/>
      <c r="BC12" s="381"/>
      <c r="BD12" s="381"/>
      <c r="BE12" s="381"/>
      <c r="BF12" s="381"/>
      <c r="BG12" s="381"/>
      <c r="BH12" s="381"/>
      <c r="BI12" s="381"/>
      <c r="BJ12" s="381"/>
      <c r="BK12" s="440">
        <v>0</v>
      </c>
      <c r="BL12" s="440">
        <v>0</v>
      </c>
      <c r="BM12" s="440">
        <v>36000</v>
      </c>
      <c r="BN12" s="440">
        <v>36000</v>
      </c>
      <c r="BO12" s="440">
        <f>3000*12</f>
        <v>36000</v>
      </c>
      <c r="BP12" s="440">
        <v>36000</v>
      </c>
    </row>
    <row r="13" spans="1:68" x14ac:dyDescent="0.2">
      <c r="A13" s="10"/>
      <c r="B13" s="10"/>
      <c r="C13" s="387" t="s">
        <v>57</v>
      </c>
      <c r="D13" s="13"/>
      <c r="E13" s="381">
        <f t="shared" si="4"/>
        <v>0</v>
      </c>
      <c r="F13" s="381">
        <f t="shared" si="4"/>
        <v>0</v>
      </c>
      <c r="G13" s="440">
        <v>0</v>
      </c>
      <c r="H13" s="440">
        <v>0</v>
      </c>
      <c r="I13" s="440">
        <v>0</v>
      </c>
      <c r="J13" s="440">
        <v>0</v>
      </c>
      <c r="K13" s="440">
        <v>0</v>
      </c>
      <c r="L13" s="440">
        <v>0</v>
      </c>
      <c r="M13" s="440">
        <v>0</v>
      </c>
      <c r="N13" s="440">
        <v>0</v>
      </c>
      <c r="O13" s="440">
        <v>0</v>
      </c>
      <c r="P13" s="440">
        <v>0</v>
      </c>
      <c r="Q13" s="440">
        <v>0</v>
      </c>
      <c r="R13" s="440">
        <v>0</v>
      </c>
      <c r="S13" s="440">
        <v>0</v>
      </c>
      <c r="T13" s="440">
        <v>0</v>
      </c>
      <c r="U13" s="441">
        <v>0</v>
      </c>
      <c r="V13" s="441">
        <v>0</v>
      </c>
      <c r="W13" s="441">
        <v>0</v>
      </c>
      <c r="X13" s="441">
        <v>0</v>
      </c>
      <c r="Y13" s="440">
        <v>0</v>
      </c>
      <c r="Z13" s="440">
        <v>0</v>
      </c>
      <c r="AA13" s="441">
        <v>0</v>
      </c>
      <c r="AB13" s="441">
        <v>0</v>
      </c>
      <c r="AC13" s="440">
        <v>0</v>
      </c>
      <c r="AD13" s="440">
        <v>0</v>
      </c>
      <c r="AE13" s="441">
        <v>0</v>
      </c>
      <c r="AF13" s="441">
        <v>0</v>
      </c>
      <c r="AG13" s="440">
        <v>0</v>
      </c>
      <c r="AH13" s="440">
        <v>0</v>
      </c>
      <c r="AI13" s="441">
        <v>0</v>
      </c>
      <c r="AJ13" s="441">
        <v>0</v>
      </c>
      <c r="AK13" s="440">
        <v>0</v>
      </c>
      <c r="AL13" s="440">
        <v>0</v>
      </c>
      <c r="AM13" s="441">
        <v>0</v>
      </c>
      <c r="AN13" s="441">
        <v>0</v>
      </c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440">
        <v>0</v>
      </c>
      <c r="BL13" s="440">
        <v>0</v>
      </c>
      <c r="BM13" s="441">
        <v>0</v>
      </c>
      <c r="BN13" s="441">
        <v>0</v>
      </c>
      <c r="BO13" s="440">
        <v>0</v>
      </c>
      <c r="BP13" s="440">
        <v>0</v>
      </c>
    </row>
    <row r="14" spans="1:68" x14ac:dyDescent="0.2">
      <c r="A14" s="91"/>
      <c r="B14" s="87" t="s">
        <v>159</v>
      </c>
      <c r="C14" s="87"/>
      <c r="D14" s="89"/>
      <c r="E14" s="90">
        <f t="shared" si="4"/>
        <v>30000</v>
      </c>
      <c r="F14" s="90">
        <f t="shared" si="4"/>
        <v>30000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>
        <v>0</v>
      </c>
      <c r="BN14" s="90">
        <v>0</v>
      </c>
      <c r="BO14" s="461">
        <v>30000</v>
      </c>
      <c r="BP14" s="461">
        <v>30000</v>
      </c>
    </row>
    <row r="15" spans="1:68" x14ac:dyDescent="0.2">
      <c r="A15" s="91"/>
      <c r="B15" s="87" t="s">
        <v>1156</v>
      </c>
      <c r="C15" s="87"/>
      <c r="D15" s="89"/>
      <c r="E15" s="90">
        <f t="shared" si="4"/>
        <v>0</v>
      </c>
      <c r="F15" s="90">
        <f t="shared" si="4"/>
        <v>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>
        <v>0</v>
      </c>
      <c r="BN15" s="90">
        <v>0</v>
      </c>
      <c r="BO15" s="90"/>
      <c r="BP15" s="90"/>
    </row>
    <row r="16" spans="1:68" s="2" customFormat="1" x14ac:dyDescent="0.2">
      <c r="A16" s="135">
        <v>2</v>
      </c>
      <c r="B16" s="136" t="s">
        <v>160</v>
      </c>
      <c r="C16" s="136"/>
      <c r="D16" s="136"/>
      <c r="E16" s="205">
        <f>SUM(E17,E20,E22,E29,E37,E40,E48,E52)</f>
        <v>21532546.820255492</v>
      </c>
      <c r="F16" s="205">
        <f>SUM(F17,F20,F22,F29,F37,F40,F48,F52)</f>
        <v>26465626.934589017</v>
      </c>
      <c r="G16" s="205">
        <f>SUM(G17,G20,G22,G29,G37,G40,G48,G52)</f>
        <v>1420660.3832093994</v>
      </c>
      <c r="H16" s="205">
        <f>SUM(H17,H20,H22,H29,H37,H40,H48,H52)</f>
        <v>1472773</v>
      </c>
      <c r="I16" s="205">
        <f t="shared" ref="I16:Z16" si="5">SUM(I17,I20,I22,I29,I37,I40,I48,I52)</f>
        <v>916091</v>
      </c>
      <c r="J16" s="205">
        <f t="shared" si="5"/>
        <v>1165852</v>
      </c>
      <c r="K16" s="205">
        <f t="shared" si="5"/>
        <v>1030161</v>
      </c>
      <c r="L16" s="205">
        <f t="shared" si="5"/>
        <v>1304340</v>
      </c>
      <c r="M16" s="205">
        <f>SUM(M17,M20,M22,M29,M37,M40,M48,M52)</f>
        <v>1608681</v>
      </c>
      <c r="N16" s="205">
        <f t="shared" si="5"/>
        <v>1859880</v>
      </c>
      <c r="O16" s="205">
        <f t="shared" si="5"/>
        <v>642495.50245707482</v>
      </c>
      <c r="P16" s="205">
        <f t="shared" si="5"/>
        <v>886192</v>
      </c>
      <c r="Q16" s="205">
        <f>SUM(Q17,Q20,Q22,Q29,Q37,Q40,Q48,Q52)</f>
        <v>1277683</v>
      </c>
      <c r="R16" s="205">
        <f>SUM(R17,R20,R22,R29,R37,R40,R48,R52)</f>
        <v>1441090</v>
      </c>
      <c r="S16" s="205">
        <f t="shared" si="5"/>
        <v>1232809</v>
      </c>
      <c r="T16" s="205">
        <f t="shared" si="5"/>
        <v>1575257</v>
      </c>
      <c r="U16" s="205">
        <f t="shared" si="5"/>
        <v>1235539</v>
      </c>
      <c r="V16" s="205">
        <f t="shared" si="5"/>
        <v>1531353</v>
      </c>
      <c r="W16" s="205">
        <f t="shared" si="5"/>
        <v>1184767</v>
      </c>
      <c r="X16" s="205">
        <f t="shared" si="5"/>
        <v>1438967</v>
      </c>
      <c r="Y16" s="205">
        <f t="shared" si="5"/>
        <v>933008</v>
      </c>
      <c r="Z16" s="205">
        <f t="shared" si="5"/>
        <v>1112035</v>
      </c>
      <c r="AA16" s="205">
        <f t="shared" ref="AA16:BN16" si="6">SUM(AA17,AA20,AA22,AA29,AA37,AA40,AA48,AA52)</f>
        <v>637113</v>
      </c>
      <c r="AB16" s="205">
        <f t="shared" si="6"/>
        <v>896450</v>
      </c>
      <c r="AC16" s="205">
        <f t="shared" si="6"/>
        <v>1530810</v>
      </c>
      <c r="AD16" s="205">
        <f t="shared" si="6"/>
        <v>1697154</v>
      </c>
      <c r="AE16" s="205">
        <f t="shared" si="6"/>
        <v>1122109</v>
      </c>
      <c r="AF16" s="205">
        <f t="shared" si="6"/>
        <v>1284843</v>
      </c>
      <c r="AG16" s="205">
        <f t="shared" si="6"/>
        <v>727608</v>
      </c>
      <c r="AH16" s="205">
        <f t="shared" si="6"/>
        <v>866250</v>
      </c>
      <c r="AI16" s="205">
        <f t="shared" si="6"/>
        <v>1566174</v>
      </c>
      <c r="AJ16" s="205">
        <f t="shared" si="6"/>
        <v>1920243</v>
      </c>
      <c r="AK16" s="205">
        <f t="shared" si="6"/>
        <v>704628.93458901451</v>
      </c>
      <c r="AL16" s="205">
        <f t="shared" si="6"/>
        <v>872477.93458901451</v>
      </c>
      <c r="AM16" s="205">
        <f t="shared" si="6"/>
        <v>1283040</v>
      </c>
      <c r="AN16" s="205">
        <f t="shared" si="6"/>
        <v>1468465</v>
      </c>
      <c r="AO16" s="205">
        <f t="shared" si="6"/>
        <v>0</v>
      </c>
      <c r="AP16" s="205">
        <f t="shared" si="6"/>
        <v>0</v>
      </c>
      <c r="AQ16" s="205">
        <f t="shared" si="6"/>
        <v>0</v>
      </c>
      <c r="AR16" s="205">
        <f t="shared" si="6"/>
        <v>0</v>
      </c>
      <c r="AS16" s="205">
        <f t="shared" si="6"/>
        <v>0</v>
      </c>
      <c r="AT16" s="205">
        <f t="shared" si="6"/>
        <v>0</v>
      </c>
      <c r="AU16" s="205">
        <f t="shared" si="6"/>
        <v>0</v>
      </c>
      <c r="AV16" s="205">
        <f t="shared" si="6"/>
        <v>0</v>
      </c>
      <c r="AW16" s="205">
        <f t="shared" si="6"/>
        <v>0</v>
      </c>
      <c r="AX16" s="205">
        <f t="shared" si="6"/>
        <v>0</v>
      </c>
      <c r="AY16" s="205">
        <f t="shared" si="6"/>
        <v>0</v>
      </c>
      <c r="AZ16" s="205">
        <f t="shared" si="6"/>
        <v>0</v>
      </c>
      <c r="BA16" s="205">
        <f t="shared" si="6"/>
        <v>0</v>
      </c>
      <c r="BB16" s="205">
        <f t="shared" si="6"/>
        <v>0</v>
      </c>
      <c r="BC16" s="205">
        <f t="shared" si="6"/>
        <v>0</v>
      </c>
      <c r="BD16" s="205">
        <f t="shared" si="6"/>
        <v>0</v>
      </c>
      <c r="BE16" s="205">
        <f t="shared" si="6"/>
        <v>0</v>
      </c>
      <c r="BF16" s="205">
        <f t="shared" si="6"/>
        <v>0</v>
      </c>
      <c r="BG16" s="205">
        <f t="shared" si="6"/>
        <v>0</v>
      </c>
      <c r="BH16" s="205">
        <f t="shared" si="6"/>
        <v>0</v>
      </c>
      <c r="BI16" s="205">
        <f t="shared" si="6"/>
        <v>0</v>
      </c>
      <c r="BJ16" s="205">
        <f t="shared" si="6"/>
        <v>0</v>
      </c>
      <c r="BK16" s="205">
        <f t="shared" si="6"/>
        <v>0</v>
      </c>
      <c r="BL16" s="205">
        <f t="shared" si="6"/>
        <v>1042336</v>
      </c>
      <c r="BM16" s="205">
        <f t="shared" si="6"/>
        <v>1212643</v>
      </c>
      <c r="BN16" s="205">
        <f t="shared" si="6"/>
        <v>1463089</v>
      </c>
      <c r="BO16" s="205">
        <f>SUM(BO17,BO20,BO22,BO29,BO37,BO40,BO48,BO52)</f>
        <v>1266526</v>
      </c>
      <c r="BP16" s="205">
        <f>SUM(BP17,BP20,BP22,BP29,BP37,BP40,BP48,BP52)</f>
        <v>1166580</v>
      </c>
    </row>
    <row r="17" spans="1:68" s="2" customFormat="1" x14ac:dyDescent="0.2">
      <c r="A17" s="175"/>
      <c r="B17" s="176" t="s">
        <v>6</v>
      </c>
      <c r="C17" s="88"/>
      <c r="D17" s="177"/>
      <c r="E17" s="178">
        <f>SUM(E18:E19)</f>
        <v>10443879</v>
      </c>
      <c r="F17" s="178">
        <f>SUM(F18:F19)</f>
        <v>15350840</v>
      </c>
      <c r="G17" s="178">
        <f>SUM(G18:G19)</f>
        <v>623679</v>
      </c>
      <c r="H17" s="178">
        <f>SUM(H18:H19)</f>
        <v>844000</v>
      </c>
      <c r="I17" s="178">
        <f t="shared" ref="I17:Z17" si="7">SUM(I18:I19)</f>
        <v>426741</v>
      </c>
      <c r="J17" s="178">
        <f t="shared" si="7"/>
        <v>652227</v>
      </c>
      <c r="K17" s="178">
        <f t="shared" si="7"/>
        <v>566272</v>
      </c>
      <c r="L17" s="178">
        <f t="shared" si="7"/>
        <v>810331</v>
      </c>
      <c r="M17" s="178">
        <f t="shared" si="7"/>
        <v>841203</v>
      </c>
      <c r="N17" s="178">
        <f t="shared" si="7"/>
        <v>964562</v>
      </c>
      <c r="O17" s="178">
        <f t="shared" si="7"/>
        <v>321058</v>
      </c>
      <c r="P17" s="178">
        <f t="shared" si="7"/>
        <v>583914</v>
      </c>
      <c r="Q17" s="178">
        <f>SUM(Q18:Q19)</f>
        <v>653146</v>
      </c>
      <c r="R17" s="178">
        <f t="shared" si="7"/>
        <v>853000</v>
      </c>
      <c r="S17" s="178">
        <f t="shared" si="7"/>
        <v>641951</v>
      </c>
      <c r="T17" s="178">
        <f t="shared" si="7"/>
        <v>978799</v>
      </c>
      <c r="U17" s="178">
        <f t="shared" si="7"/>
        <v>581554</v>
      </c>
      <c r="V17" s="178">
        <f t="shared" si="7"/>
        <v>914868</v>
      </c>
      <c r="W17" s="178">
        <f t="shared" si="7"/>
        <v>585212</v>
      </c>
      <c r="X17" s="178">
        <f t="shared" si="7"/>
        <v>736452</v>
      </c>
      <c r="Y17" s="178">
        <f t="shared" si="7"/>
        <v>569609</v>
      </c>
      <c r="Z17" s="178">
        <f t="shared" si="7"/>
        <v>727071</v>
      </c>
      <c r="AA17" s="178">
        <f t="shared" ref="AA17:BN17" si="8">SUM(AA18:AA19)</f>
        <v>357471</v>
      </c>
      <c r="AB17" s="178">
        <f t="shared" si="8"/>
        <v>620808</v>
      </c>
      <c r="AC17" s="178">
        <f t="shared" si="8"/>
        <v>1040313</v>
      </c>
      <c r="AD17" s="178">
        <f t="shared" si="8"/>
        <v>1144557</v>
      </c>
      <c r="AE17" s="178">
        <f t="shared" si="8"/>
        <v>619507</v>
      </c>
      <c r="AF17" s="178">
        <f t="shared" si="8"/>
        <v>788241</v>
      </c>
      <c r="AG17" s="178">
        <f t="shared" si="8"/>
        <v>345900</v>
      </c>
      <c r="AH17" s="178">
        <f t="shared" si="8"/>
        <v>544162</v>
      </c>
      <c r="AI17" s="178">
        <f t="shared" si="8"/>
        <v>770220</v>
      </c>
      <c r="AJ17" s="178">
        <f t="shared" si="8"/>
        <v>1032771</v>
      </c>
      <c r="AK17" s="178">
        <f t="shared" si="8"/>
        <v>356751</v>
      </c>
      <c r="AL17" s="178">
        <f t="shared" si="8"/>
        <v>543000</v>
      </c>
      <c r="AM17" s="178">
        <f t="shared" si="8"/>
        <v>519864</v>
      </c>
      <c r="AN17" s="178">
        <f t="shared" si="8"/>
        <v>769679</v>
      </c>
      <c r="AO17" s="178">
        <f t="shared" si="8"/>
        <v>0</v>
      </c>
      <c r="AP17" s="178">
        <f t="shared" si="8"/>
        <v>0</v>
      </c>
      <c r="AQ17" s="178">
        <f t="shared" si="8"/>
        <v>0</v>
      </c>
      <c r="AR17" s="178">
        <f t="shared" si="8"/>
        <v>0</v>
      </c>
      <c r="AS17" s="178">
        <f t="shared" si="8"/>
        <v>0</v>
      </c>
      <c r="AT17" s="178">
        <f t="shared" si="8"/>
        <v>0</v>
      </c>
      <c r="AU17" s="178">
        <f t="shared" si="8"/>
        <v>0</v>
      </c>
      <c r="AV17" s="178">
        <f t="shared" si="8"/>
        <v>0</v>
      </c>
      <c r="AW17" s="178">
        <f t="shared" si="8"/>
        <v>0</v>
      </c>
      <c r="AX17" s="178">
        <f t="shared" si="8"/>
        <v>0</v>
      </c>
      <c r="AY17" s="178">
        <f t="shared" si="8"/>
        <v>0</v>
      </c>
      <c r="AZ17" s="178">
        <f t="shared" si="8"/>
        <v>0</v>
      </c>
      <c r="BA17" s="178">
        <f t="shared" si="8"/>
        <v>0</v>
      </c>
      <c r="BB17" s="178">
        <f t="shared" si="8"/>
        <v>0</v>
      </c>
      <c r="BC17" s="178">
        <f t="shared" si="8"/>
        <v>0</v>
      </c>
      <c r="BD17" s="178">
        <f t="shared" si="8"/>
        <v>0</v>
      </c>
      <c r="BE17" s="178">
        <f t="shared" si="8"/>
        <v>0</v>
      </c>
      <c r="BF17" s="178">
        <f t="shared" si="8"/>
        <v>0</v>
      </c>
      <c r="BG17" s="178">
        <f t="shared" si="8"/>
        <v>0</v>
      </c>
      <c r="BH17" s="178">
        <f t="shared" si="8"/>
        <v>0</v>
      </c>
      <c r="BI17" s="178">
        <f t="shared" si="8"/>
        <v>0</v>
      </c>
      <c r="BJ17" s="178">
        <f t="shared" si="8"/>
        <v>0</v>
      </c>
      <c r="BK17" s="178">
        <f t="shared" si="8"/>
        <v>0</v>
      </c>
      <c r="BL17" s="178">
        <f t="shared" si="8"/>
        <v>941836</v>
      </c>
      <c r="BM17" s="178">
        <f t="shared" si="8"/>
        <v>623428</v>
      </c>
      <c r="BN17" s="178">
        <f t="shared" si="8"/>
        <v>900562</v>
      </c>
      <c r="BO17" s="178">
        <f>SUM(BO18:BO19)</f>
        <v>0</v>
      </c>
      <c r="BP17" s="178">
        <f>SUM(BP18:BP19)</f>
        <v>0</v>
      </c>
    </row>
    <row r="18" spans="1:68" x14ac:dyDescent="0.2">
      <c r="A18" s="14"/>
      <c r="B18" s="11"/>
      <c r="C18" s="1" t="s">
        <v>51</v>
      </c>
      <c r="D18" s="11" t="s">
        <v>50</v>
      </c>
      <c r="E18" s="381">
        <f>SUMIF($G$2:$BP$2,E$2,($G18:$BP18))</f>
        <v>10443879</v>
      </c>
      <c r="F18" s="381">
        <f>SUMIF($G$2:$BP$2,F$2,($G18:$BP18))</f>
        <v>15350840</v>
      </c>
      <c r="G18" s="441">
        <v>623679</v>
      </c>
      <c r="H18" s="441">
        <f>396000+H144</f>
        <v>844000</v>
      </c>
      <c r="I18" s="441">
        <v>426741</v>
      </c>
      <c r="J18" s="452">
        <f>363000+J144</f>
        <v>652227</v>
      </c>
      <c r="K18" s="441">
        <v>566272</v>
      </c>
      <c r="L18" s="455">
        <f>363000+L144</f>
        <v>810331</v>
      </c>
      <c r="M18" s="441">
        <v>841203</v>
      </c>
      <c r="N18" s="441">
        <f>396000+N144</f>
        <v>964562</v>
      </c>
      <c r="O18" s="441">
        <v>321058</v>
      </c>
      <c r="P18" s="455">
        <v>583914</v>
      </c>
      <c r="Q18" s="441">
        <v>653146</v>
      </c>
      <c r="R18" s="455">
        <f>363000+R144</f>
        <v>853000</v>
      </c>
      <c r="S18" s="441">
        <v>641951</v>
      </c>
      <c r="T18" s="441">
        <f>396000+T144</f>
        <v>978799</v>
      </c>
      <c r="U18" s="441">
        <v>581554</v>
      </c>
      <c r="V18" s="441">
        <f>396000+V144</f>
        <v>914868</v>
      </c>
      <c r="W18" s="441">
        <v>585212</v>
      </c>
      <c r="X18" s="441">
        <f>363000+X144</f>
        <v>736452</v>
      </c>
      <c r="Y18" s="441">
        <v>569609</v>
      </c>
      <c r="Z18" s="455">
        <f>363000+Z144</f>
        <v>727071</v>
      </c>
      <c r="AA18" s="441">
        <v>357471</v>
      </c>
      <c r="AB18" s="455">
        <f>330000+AB144</f>
        <v>620808</v>
      </c>
      <c r="AC18" s="441">
        <v>1040313</v>
      </c>
      <c r="AD18" s="441">
        <f>396000+AD144</f>
        <v>1144557</v>
      </c>
      <c r="AE18" s="441">
        <v>619507</v>
      </c>
      <c r="AF18" s="455">
        <f>363000+AF144</f>
        <v>788241</v>
      </c>
      <c r="AG18" s="441">
        <v>345900</v>
      </c>
      <c r="AH18" s="455">
        <f>330000+AH144</f>
        <v>544162</v>
      </c>
      <c r="AI18" s="441">
        <v>770220</v>
      </c>
      <c r="AJ18" s="441">
        <f>396000+AJ144</f>
        <v>1032771</v>
      </c>
      <c r="AK18" s="441">
        <v>356751</v>
      </c>
      <c r="AL18" s="455">
        <f>330000+AL144</f>
        <v>543000</v>
      </c>
      <c r="AM18" s="441">
        <v>519864</v>
      </c>
      <c r="AN18" s="455">
        <f>363000+AN144</f>
        <v>769679</v>
      </c>
      <c r="AO18" s="382"/>
      <c r="AP18" s="382"/>
      <c r="AQ18" s="382"/>
      <c r="AR18" s="382"/>
      <c r="AS18" s="382"/>
      <c r="AT18" s="382"/>
      <c r="AU18" s="382"/>
      <c r="AV18" s="382"/>
      <c r="AW18" s="382"/>
      <c r="AX18" s="382"/>
      <c r="AY18" s="382"/>
      <c r="AZ18" s="382"/>
      <c r="BA18" s="382"/>
      <c r="BB18" s="382"/>
      <c r="BC18" s="382"/>
      <c r="BD18" s="382"/>
      <c r="BE18" s="382"/>
      <c r="BF18" s="382"/>
      <c r="BG18" s="382"/>
      <c r="BH18" s="382"/>
      <c r="BI18" s="382"/>
      <c r="BJ18" s="382"/>
      <c r="BK18" s="441"/>
      <c r="BL18" s="441">
        <f>363000+BL144</f>
        <v>941836</v>
      </c>
      <c r="BM18" s="441">
        <v>623428</v>
      </c>
      <c r="BN18" s="441">
        <f>396000+BN144</f>
        <v>900562</v>
      </c>
      <c r="BO18" s="382"/>
      <c r="BP18" s="382"/>
    </row>
    <row r="19" spans="1:68" x14ac:dyDescent="0.2">
      <c r="A19" s="14"/>
      <c r="B19" s="11"/>
      <c r="C19" s="1" t="s">
        <v>51</v>
      </c>
      <c r="D19" s="11" t="s">
        <v>1126</v>
      </c>
      <c r="E19" s="381">
        <f>SUMIF($G$2:$BP$2,E$2,($G19:$BP19))</f>
        <v>0</v>
      </c>
      <c r="F19" s="381">
        <f>SUMIF($G$2:$BP$2,F$2,($G19:$BP19))</f>
        <v>0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442">
        <v>0</v>
      </c>
      <c r="BL19" s="442">
        <v>0</v>
      </c>
      <c r="BM19" s="206"/>
      <c r="BN19" s="206"/>
      <c r="BO19" s="206"/>
      <c r="BP19" s="206"/>
    </row>
    <row r="20" spans="1:68" x14ac:dyDescent="0.2">
      <c r="A20" s="175"/>
      <c r="B20" s="176" t="s">
        <v>7</v>
      </c>
      <c r="C20" s="88"/>
      <c r="D20" s="177"/>
      <c r="E20" s="178">
        <f>SUM(E21:E21)</f>
        <v>0</v>
      </c>
      <c r="F20" s="178">
        <f>SUM(F21:F21)</f>
        <v>0</v>
      </c>
      <c r="G20" s="178">
        <f>SUM(G21:G21)</f>
        <v>0</v>
      </c>
      <c r="H20" s="178">
        <f>SUM(H21:H21)</f>
        <v>0</v>
      </c>
      <c r="I20" s="178">
        <f t="shared" ref="I20:Z20" si="9">SUM(I21:I21)</f>
        <v>0</v>
      </c>
      <c r="J20" s="178">
        <f t="shared" si="9"/>
        <v>0</v>
      </c>
      <c r="K20" s="178">
        <f t="shared" si="9"/>
        <v>0</v>
      </c>
      <c r="L20" s="178">
        <f t="shared" si="9"/>
        <v>0</v>
      </c>
      <c r="M20" s="178">
        <f t="shared" si="9"/>
        <v>0</v>
      </c>
      <c r="N20" s="178">
        <f t="shared" si="9"/>
        <v>0</v>
      </c>
      <c r="O20" s="178">
        <f t="shared" si="9"/>
        <v>0</v>
      </c>
      <c r="P20" s="178">
        <f t="shared" si="9"/>
        <v>0</v>
      </c>
      <c r="Q20" s="178">
        <f t="shared" si="9"/>
        <v>0</v>
      </c>
      <c r="R20" s="178">
        <f t="shared" si="9"/>
        <v>0</v>
      </c>
      <c r="S20" s="178">
        <f t="shared" si="9"/>
        <v>0</v>
      </c>
      <c r="T20" s="178">
        <f t="shared" si="9"/>
        <v>0</v>
      </c>
      <c r="U20" s="178">
        <f t="shared" si="9"/>
        <v>0</v>
      </c>
      <c r="V20" s="178">
        <f t="shared" si="9"/>
        <v>0</v>
      </c>
      <c r="W20" s="178">
        <f t="shared" si="9"/>
        <v>0</v>
      </c>
      <c r="X20" s="178">
        <f t="shared" si="9"/>
        <v>0</v>
      </c>
      <c r="Y20" s="178">
        <f t="shared" si="9"/>
        <v>0</v>
      </c>
      <c r="Z20" s="178">
        <f t="shared" si="9"/>
        <v>0</v>
      </c>
      <c r="AA20" s="178">
        <f t="shared" ref="AA20:BN20" si="10">SUM(AA21:AA21)</f>
        <v>0</v>
      </c>
      <c r="AB20" s="178">
        <f t="shared" si="10"/>
        <v>0</v>
      </c>
      <c r="AC20" s="178">
        <f t="shared" si="10"/>
        <v>0</v>
      </c>
      <c r="AD20" s="178">
        <f t="shared" si="10"/>
        <v>0</v>
      </c>
      <c r="AE20" s="178">
        <f t="shared" si="10"/>
        <v>0</v>
      </c>
      <c r="AF20" s="178">
        <f t="shared" si="10"/>
        <v>0</v>
      </c>
      <c r="AG20" s="178">
        <f t="shared" si="10"/>
        <v>0</v>
      </c>
      <c r="AH20" s="178">
        <f t="shared" si="10"/>
        <v>0</v>
      </c>
      <c r="AI20" s="178">
        <f t="shared" si="10"/>
        <v>0</v>
      </c>
      <c r="AJ20" s="178">
        <f t="shared" si="10"/>
        <v>0</v>
      </c>
      <c r="AK20" s="178">
        <f t="shared" si="10"/>
        <v>0</v>
      </c>
      <c r="AL20" s="178">
        <f t="shared" si="10"/>
        <v>0</v>
      </c>
      <c r="AM20" s="178">
        <f t="shared" si="10"/>
        <v>0</v>
      </c>
      <c r="AN20" s="178">
        <f t="shared" si="10"/>
        <v>0</v>
      </c>
      <c r="AO20" s="178">
        <f t="shared" si="10"/>
        <v>0</v>
      </c>
      <c r="AP20" s="178">
        <f t="shared" si="10"/>
        <v>0</v>
      </c>
      <c r="AQ20" s="178">
        <f t="shared" si="10"/>
        <v>0</v>
      </c>
      <c r="AR20" s="178">
        <f t="shared" si="10"/>
        <v>0</v>
      </c>
      <c r="AS20" s="178">
        <f t="shared" si="10"/>
        <v>0</v>
      </c>
      <c r="AT20" s="178">
        <f t="shared" si="10"/>
        <v>0</v>
      </c>
      <c r="AU20" s="178">
        <f t="shared" si="10"/>
        <v>0</v>
      </c>
      <c r="AV20" s="178">
        <f t="shared" si="10"/>
        <v>0</v>
      </c>
      <c r="AW20" s="178">
        <f t="shared" si="10"/>
        <v>0</v>
      </c>
      <c r="AX20" s="178">
        <f t="shared" si="10"/>
        <v>0</v>
      </c>
      <c r="AY20" s="178">
        <f t="shared" si="10"/>
        <v>0</v>
      </c>
      <c r="AZ20" s="178">
        <f t="shared" si="10"/>
        <v>0</v>
      </c>
      <c r="BA20" s="178">
        <f t="shared" si="10"/>
        <v>0</v>
      </c>
      <c r="BB20" s="178">
        <f t="shared" si="10"/>
        <v>0</v>
      </c>
      <c r="BC20" s="178">
        <f t="shared" si="10"/>
        <v>0</v>
      </c>
      <c r="BD20" s="178">
        <f t="shared" si="10"/>
        <v>0</v>
      </c>
      <c r="BE20" s="178">
        <f t="shared" si="10"/>
        <v>0</v>
      </c>
      <c r="BF20" s="178">
        <f t="shared" si="10"/>
        <v>0</v>
      </c>
      <c r="BG20" s="178">
        <f t="shared" si="10"/>
        <v>0</v>
      </c>
      <c r="BH20" s="178">
        <f t="shared" si="10"/>
        <v>0</v>
      </c>
      <c r="BI20" s="178">
        <f t="shared" si="10"/>
        <v>0</v>
      </c>
      <c r="BJ20" s="178">
        <f t="shared" si="10"/>
        <v>0</v>
      </c>
      <c r="BK20" s="178">
        <f t="shared" si="10"/>
        <v>0</v>
      </c>
      <c r="BL20" s="178">
        <f t="shared" si="10"/>
        <v>0</v>
      </c>
      <c r="BM20" s="178">
        <f t="shared" si="10"/>
        <v>0</v>
      </c>
      <c r="BN20" s="178">
        <f t="shared" si="10"/>
        <v>0</v>
      </c>
      <c r="BO20" s="178">
        <f>SUM(BO21:BO21)</f>
        <v>0</v>
      </c>
      <c r="BP20" s="178">
        <f>SUM(BP21:BP21)</f>
        <v>0</v>
      </c>
    </row>
    <row r="21" spans="1:68" s="2" customFormat="1" x14ac:dyDescent="0.2">
      <c r="A21" s="14"/>
      <c r="B21" s="11"/>
      <c r="C21" s="1" t="s">
        <v>51</v>
      </c>
      <c r="D21" s="11" t="s">
        <v>63</v>
      </c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</row>
    <row r="22" spans="1:68" s="2" customFormat="1" x14ac:dyDescent="0.2">
      <c r="A22" s="175"/>
      <c r="B22" s="176" t="s">
        <v>8</v>
      </c>
      <c r="C22" s="88"/>
      <c r="D22" s="177"/>
      <c r="E22" s="178">
        <f>SUM(E23:E28)</f>
        <v>7262214.0600000005</v>
      </c>
      <c r="F22" s="178">
        <f>SUM(F23:F28)</f>
        <v>7340872.0600000005</v>
      </c>
      <c r="G22" s="178">
        <f>SUM(G23:G28)</f>
        <v>435035</v>
      </c>
      <c r="H22" s="178">
        <f>SUM(H23:H28)</f>
        <v>435035</v>
      </c>
      <c r="I22" s="178">
        <f t="shared" ref="I22:Z22" si="11">SUM(I23:I28)</f>
        <v>285612</v>
      </c>
      <c r="J22" s="178">
        <f t="shared" si="11"/>
        <v>280137</v>
      </c>
      <c r="K22" s="178">
        <f t="shared" si="11"/>
        <v>294459</v>
      </c>
      <c r="L22" s="178">
        <f t="shared" si="11"/>
        <v>291579</v>
      </c>
      <c r="M22" s="178">
        <f t="shared" si="11"/>
        <v>518823</v>
      </c>
      <c r="N22" s="178">
        <f t="shared" si="11"/>
        <v>515163</v>
      </c>
      <c r="O22" s="178">
        <f t="shared" si="11"/>
        <v>200078</v>
      </c>
      <c r="P22" s="178">
        <f t="shared" si="11"/>
        <v>195278</v>
      </c>
      <c r="Q22" s="178">
        <f t="shared" si="11"/>
        <v>377090</v>
      </c>
      <c r="R22" s="178">
        <f t="shared" si="11"/>
        <v>377090</v>
      </c>
      <c r="S22" s="178">
        <f t="shared" si="11"/>
        <v>392725</v>
      </c>
      <c r="T22" s="178">
        <f t="shared" si="11"/>
        <v>393325</v>
      </c>
      <c r="U22" s="178">
        <f t="shared" si="11"/>
        <v>390410</v>
      </c>
      <c r="V22" s="178">
        <f t="shared" si="11"/>
        <v>390410</v>
      </c>
      <c r="W22" s="178">
        <f t="shared" si="11"/>
        <v>399860</v>
      </c>
      <c r="X22" s="178">
        <f t="shared" si="11"/>
        <v>403020</v>
      </c>
      <c r="Y22" s="178">
        <f t="shared" si="11"/>
        <v>248960</v>
      </c>
      <c r="Z22" s="178">
        <f t="shared" si="11"/>
        <v>247525</v>
      </c>
      <c r="AA22" s="178">
        <f t="shared" ref="AA22:BN22" si="12">SUM(AA23:AA28)</f>
        <v>137551</v>
      </c>
      <c r="AB22" s="178">
        <f t="shared" si="12"/>
        <v>147551</v>
      </c>
      <c r="AC22" s="178">
        <f t="shared" si="12"/>
        <v>234654</v>
      </c>
      <c r="AD22" s="178">
        <f t="shared" si="12"/>
        <v>334654</v>
      </c>
      <c r="AE22" s="178">
        <f t="shared" si="12"/>
        <v>312043</v>
      </c>
      <c r="AF22" s="178">
        <f t="shared" si="12"/>
        <v>312043</v>
      </c>
      <c r="AG22" s="178">
        <f t="shared" si="12"/>
        <v>218211</v>
      </c>
      <c r="AH22" s="178">
        <f t="shared" si="12"/>
        <v>196191</v>
      </c>
      <c r="AI22" s="178">
        <f t="shared" si="12"/>
        <v>489868</v>
      </c>
      <c r="AJ22" s="178">
        <f t="shared" si="12"/>
        <v>537472</v>
      </c>
      <c r="AK22" s="178">
        <f t="shared" si="12"/>
        <v>238292.06</v>
      </c>
      <c r="AL22" s="178">
        <f t="shared" si="12"/>
        <v>238292.06</v>
      </c>
      <c r="AM22" s="178">
        <f t="shared" si="12"/>
        <v>470490</v>
      </c>
      <c r="AN22" s="178">
        <f t="shared" si="12"/>
        <v>523000</v>
      </c>
      <c r="AO22" s="178">
        <f t="shared" si="12"/>
        <v>0</v>
      </c>
      <c r="AP22" s="178">
        <f t="shared" si="12"/>
        <v>0</v>
      </c>
      <c r="AQ22" s="178">
        <f t="shared" si="12"/>
        <v>0</v>
      </c>
      <c r="AR22" s="178">
        <f t="shared" si="12"/>
        <v>0</v>
      </c>
      <c r="AS22" s="178">
        <f t="shared" si="12"/>
        <v>0</v>
      </c>
      <c r="AT22" s="178">
        <f t="shared" si="12"/>
        <v>0</v>
      </c>
      <c r="AU22" s="178">
        <f t="shared" si="12"/>
        <v>0</v>
      </c>
      <c r="AV22" s="178">
        <f t="shared" si="12"/>
        <v>0</v>
      </c>
      <c r="AW22" s="178">
        <f t="shared" si="12"/>
        <v>0</v>
      </c>
      <c r="AX22" s="178">
        <f t="shared" si="12"/>
        <v>0</v>
      </c>
      <c r="AY22" s="178">
        <f t="shared" si="12"/>
        <v>0</v>
      </c>
      <c r="AZ22" s="178">
        <f t="shared" si="12"/>
        <v>0</v>
      </c>
      <c r="BA22" s="178">
        <f t="shared" si="12"/>
        <v>0</v>
      </c>
      <c r="BB22" s="178">
        <f t="shared" si="12"/>
        <v>0</v>
      </c>
      <c r="BC22" s="178">
        <f t="shared" si="12"/>
        <v>0</v>
      </c>
      <c r="BD22" s="178">
        <f t="shared" si="12"/>
        <v>0</v>
      </c>
      <c r="BE22" s="178">
        <f t="shared" si="12"/>
        <v>0</v>
      </c>
      <c r="BF22" s="178">
        <f t="shared" si="12"/>
        <v>0</v>
      </c>
      <c r="BG22" s="178">
        <f t="shared" si="12"/>
        <v>0</v>
      </c>
      <c r="BH22" s="178">
        <f t="shared" si="12"/>
        <v>0</v>
      </c>
      <c r="BI22" s="178">
        <f t="shared" si="12"/>
        <v>0</v>
      </c>
      <c r="BJ22" s="178">
        <f t="shared" si="12"/>
        <v>0</v>
      </c>
      <c r="BK22" s="178">
        <f t="shared" si="12"/>
        <v>0</v>
      </c>
      <c r="BL22" s="178">
        <f t="shared" si="12"/>
        <v>0</v>
      </c>
      <c r="BM22" s="178">
        <f t="shared" si="12"/>
        <v>351527</v>
      </c>
      <c r="BN22" s="178">
        <f t="shared" si="12"/>
        <v>356527</v>
      </c>
      <c r="BO22" s="178">
        <f>SUM(BO23:BO28)</f>
        <v>1266526</v>
      </c>
      <c r="BP22" s="178">
        <f>SUM(BP23:BP28)</f>
        <v>1166580</v>
      </c>
    </row>
    <row r="23" spans="1:68" s="2" customFormat="1" x14ac:dyDescent="0.2">
      <c r="A23" s="139"/>
      <c r="B23" s="140"/>
      <c r="C23" s="140" t="s">
        <v>761</v>
      </c>
      <c r="D23" s="17"/>
      <c r="E23" s="381">
        <f t="shared" ref="E23:F28" si="13">SUMIF($G$2:$BP$2,E$2,($G23:$BP23))</f>
        <v>1266526</v>
      </c>
      <c r="F23" s="381">
        <f t="shared" si="13"/>
        <v>1166580</v>
      </c>
      <c r="G23" s="442">
        <v>0</v>
      </c>
      <c r="H23" s="442">
        <v>0</v>
      </c>
      <c r="I23" s="442"/>
      <c r="J23" s="443"/>
      <c r="K23" s="442"/>
      <c r="L23" s="443"/>
      <c r="M23" s="442"/>
      <c r="N23" s="443"/>
      <c r="O23" s="442"/>
      <c r="P23" s="441"/>
      <c r="Q23" s="442"/>
      <c r="R23" s="443"/>
      <c r="S23" s="442"/>
      <c r="T23" s="443"/>
      <c r="U23" s="442"/>
      <c r="V23" s="443"/>
      <c r="W23" s="442">
        <v>0</v>
      </c>
      <c r="X23" s="443">
        <v>0</v>
      </c>
      <c r="Y23" s="442"/>
      <c r="Z23" s="443"/>
      <c r="AA23" s="440">
        <v>0</v>
      </c>
      <c r="AB23" s="440">
        <v>0</v>
      </c>
      <c r="AC23" s="442"/>
      <c r="AD23" s="443"/>
      <c r="AE23" s="442"/>
      <c r="AF23" s="443"/>
      <c r="AG23" s="440">
        <v>0</v>
      </c>
      <c r="AH23" s="440">
        <v>0</v>
      </c>
      <c r="AI23" s="206">
        <v>0</v>
      </c>
      <c r="AJ23" s="218">
        <v>0</v>
      </c>
      <c r="AK23" s="440">
        <v>0</v>
      </c>
      <c r="AL23" s="440">
        <v>0</v>
      </c>
      <c r="AM23" s="440"/>
      <c r="AN23" s="441"/>
      <c r="AO23" s="206"/>
      <c r="AP23" s="218"/>
      <c r="AQ23" s="206"/>
      <c r="AR23" s="218"/>
      <c r="AS23" s="206"/>
      <c r="AT23" s="218"/>
      <c r="AU23" s="206"/>
      <c r="AV23" s="218"/>
      <c r="AW23" s="206"/>
      <c r="AX23" s="218"/>
      <c r="AY23" s="206"/>
      <c r="AZ23" s="218"/>
      <c r="BA23" s="206"/>
      <c r="BB23" s="218"/>
      <c r="BC23" s="206"/>
      <c r="BD23" s="218"/>
      <c r="BE23" s="206"/>
      <c r="BF23" s="218"/>
      <c r="BG23" s="206"/>
      <c r="BH23" s="218"/>
      <c r="BI23" s="206"/>
      <c r="BJ23" s="218"/>
      <c r="BK23" s="442">
        <v>0</v>
      </c>
      <c r="BL23" s="443">
        <v>0</v>
      </c>
      <c r="BM23" s="442"/>
      <c r="BN23" s="443"/>
      <c r="BO23" s="442">
        <v>1266526</v>
      </c>
      <c r="BP23" s="468">
        <f>129620*9</f>
        <v>1166580</v>
      </c>
    </row>
    <row r="24" spans="1:68" s="2" customFormat="1" x14ac:dyDescent="0.2">
      <c r="A24" s="14"/>
      <c r="B24" s="11"/>
      <c r="C24" s="140" t="s">
        <v>762</v>
      </c>
      <c r="D24" s="17"/>
      <c r="E24" s="381">
        <f t="shared" si="13"/>
        <v>0</v>
      </c>
      <c r="F24" s="381">
        <f t="shared" si="13"/>
        <v>0</v>
      </c>
      <c r="G24" s="442">
        <v>0</v>
      </c>
      <c r="H24" s="442">
        <v>0</v>
      </c>
      <c r="I24" s="440"/>
      <c r="J24" s="441"/>
      <c r="K24" s="440"/>
      <c r="L24" s="441"/>
      <c r="M24" s="440"/>
      <c r="N24" s="441"/>
      <c r="O24" s="442"/>
      <c r="P24" s="441"/>
      <c r="Q24" s="440"/>
      <c r="R24" s="441"/>
      <c r="S24" s="440"/>
      <c r="T24" s="441"/>
      <c r="U24" s="440"/>
      <c r="V24" s="441"/>
      <c r="W24" s="440">
        <v>0</v>
      </c>
      <c r="X24" s="441">
        <v>0</v>
      </c>
      <c r="Y24" s="440"/>
      <c r="Z24" s="441"/>
      <c r="AA24" s="440">
        <v>0</v>
      </c>
      <c r="AB24" s="440">
        <v>0</v>
      </c>
      <c r="AC24" s="440"/>
      <c r="AD24" s="441"/>
      <c r="AE24" s="440"/>
      <c r="AF24" s="441"/>
      <c r="AG24" s="440">
        <v>0</v>
      </c>
      <c r="AH24" s="440">
        <v>0</v>
      </c>
      <c r="AI24" s="381">
        <v>0</v>
      </c>
      <c r="AJ24" s="382">
        <v>0</v>
      </c>
      <c r="AK24" s="440">
        <v>0</v>
      </c>
      <c r="AL24" s="440">
        <v>0</v>
      </c>
      <c r="AM24" s="440"/>
      <c r="AN24" s="441"/>
      <c r="AO24" s="381"/>
      <c r="AP24" s="382"/>
      <c r="AQ24" s="381"/>
      <c r="AR24" s="382"/>
      <c r="AS24" s="381"/>
      <c r="AT24" s="382"/>
      <c r="AU24" s="381"/>
      <c r="AV24" s="382"/>
      <c r="AW24" s="381"/>
      <c r="AX24" s="382"/>
      <c r="AY24" s="381"/>
      <c r="AZ24" s="382"/>
      <c r="BA24" s="381"/>
      <c r="BB24" s="382"/>
      <c r="BC24" s="381"/>
      <c r="BD24" s="382"/>
      <c r="BE24" s="381"/>
      <c r="BF24" s="382"/>
      <c r="BG24" s="381"/>
      <c r="BH24" s="382"/>
      <c r="BI24" s="381"/>
      <c r="BJ24" s="382"/>
      <c r="BK24" s="442">
        <v>0</v>
      </c>
      <c r="BL24" s="443">
        <v>0</v>
      </c>
      <c r="BM24" s="440"/>
      <c r="BN24" s="440"/>
      <c r="BO24" s="440">
        <v>0</v>
      </c>
      <c r="BP24" s="443">
        <v>0</v>
      </c>
    </row>
    <row r="25" spans="1:68" x14ac:dyDescent="0.2">
      <c r="A25" s="10"/>
      <c r="B25" s="387"/>
      <c r="C25" s="436" t="s">
        <v>1110</v>
      </c>
      <c r="D25" s="437"/>
      <c r="E25" s="381">
        <f t="shared" si="13"/>
        <v>3261002.06</v>
      </c>
      <c r="F25" s="381">
        <f t="shared" si="13"/>
        <v>3323512.06</v>
      </c>
      <c r="G25" s="440">
        <v>225035</v>
      </c>
      <c r="H25" s="440">
        <v>225035</v>
      </c>
      <c r="I25" s="440">
        <v>130137</v>
      </c>
      <c r="J25" s="440">
        <v>130137</v>
      </c>
      <c r="K25" s="440">
        <v>141579</v>
      </c>
      <c r="L25" s="440">
        <v>141579</v>
      </c>
      <c r="M25" s="440">
        <v>365163</v>
      </c>
      <c r="N25" s="440">
        <v>365163</v>
      </c>
      <c r="O25" s="442">
        <v>110278</v>
      </c>
      <c r="P25" s="442">
        <v>110278</v>
      </c>
      <c r="Q25" s="440">
        <v>195890</v>
      </c>
      <c r="R25" s="440">
        <v>195890</v>
      </c>
      <c r="S25" s="440">
        <v>283325</v>
      </c>
      <c r="T25" s="440">
        <v>283325</v>
      </c>
      <c r="U25" s="440">
        <v>228310</v>
      </c>
      <c r="V25" s="440">
        <v>228310</v>
      </c>
      <c r="W25" s="440">
        <v>203020</v>
      </c>
      <c r="X25" s="440">
        <v>203020</v>
      </c>
      <c r="Y25" s="440">
        <v>127525</v>
      </c>
      <c r="Z25" s="440">
        <v>127525</v>
      </c>
      <c r="AA25" s="440">
        <v>72551</v>
      </c>
      <c r="AB25" s="440">
        <v>82551</v>
      </c>
      <c r="AC25" s="440">
        <v>184654</v>
      </c>
      <c r="AD25" s="440">
        <v>184654</v>
      </c>
      <c r="AE25" s="440">
        <v>182043</v>
      </c>
      <c r="AF25" s="440">
        <v>182043</v>
      </c>
      <c r="AG25" s="440">
        <v>82211</v>
      </c>
      <c r="AH25" s="440">
        <v>82211</v>
      </c>
      <c r="AI25" s="382">
        <v>237472</v>
      </c>
      <c r="AJ25" s="382">
        <v>237472</v>
      </c>
      <c r="AK25" s="440">
        <v>82792.06</v>
      </c>
      <c r="AL25" s="440">
        <v>82792.06</v>
      </c>
      <c r="AM25" s="440">
        <v>182490</v>
      </c>
      <c r="AN25" s="440">
        <v>235000</v>
      </c>
      <c r="AO25" s="381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1"/>
      <c r="BB25" s="381"/>
      <c r="BC25" s="381"/>
      <c r="BD25" s="381"/>
      <c r="BE25" s="381"/>
      <c r="BF25" s="381"/>
      <c r="BG25" s="381"/>
      <c r="BH25" s="381"/>
      <c r="BI25" s="381"/>
      <c r="BJ25" s="381"/>
      <c r="BK25" s="442">
        <v>0</v>
      </c>
      <c r="BL25" s="443">
        <v>0</v>
      </c>
      <c r="BM25" s="440">
        <v>226527</v>
      </c>
      <c r="BN25" s="440">
        <v>226527</v>
      </c>
      <c r="BO25" s="440">
        <v>0</v>
      </c>
      <c r="BP25" s="440">
        <v>0</v>
      </c>
    </row>
    <row r="26" spans="1:68" x14ac:dyDescent="0.2">
      <c r="A26" s="14"/>
      <c r="B26" s="11"/>
      <c r="C26" s="140" t="s">
        <v>1124</v>
      </c>
      <c r="D26" s="355"/>
      <c r="E26" s="381">
        <f t="shared" si="13"/>
        <v>0</v>
      </c>
      <c r="F26" s="381">
        <f t="shared" si="13"/>
        <v>0</v>
      </c>
      <c r="G26" s="442">
        <v>0</v>
      </c>
      <c r="H26" s="442">
        <v>0</v>
      </c>
      <c r="I26" s="440"/>
      <c r="J26" s="440"/>
      <c r="K26" s="440"/>
      <c r="L26" s="440"/>
      <c r="M26" s="440"/>
      <c r="N26" s="440"/>
      <c r="O26" s="442"/>
      <c r="P26" s="440"/>
      <c r="Q26" s="440"/>
      <c r="R26" s="440"/>
      <c r="S26" s="440"/>
      <c r="T26" s="440"/>
      <c r="U26" s="440"/>
      <c r="V26" s="440"/>
      <c r="W26" s="440">
        <v>0</v>
      </c>
      <c r="X26" s="440">
        <v>0</v>
      </c>
      <c r="Y26" s="440"/>
      <c r="Z26" s="440"/>
      <c r="AA26" s="440">
        <v>0</v>
      </c>
      <c r="AB26" s="440">
        <v>0</v>
      </c>
      <c r="AC26" s="440"/>
      <c r="AD26" s="440"/>
      <c r="AE26" s="440"/>
      <c r="AF26" s="440"/>
      <c r="AG26" s="440">
        <v>0</v>
      </c>
      <c r="AH26" s="440">
        <v>0</v>
      </c>
      <c r="AI26" s="381">
        <v>0</v>
      </c>
      <c r="AJ26" s="381">
        <v>0</v>
      </c>
      <c r="AK26" s="440">
        <v>0</v>
      </c>
      <c r="AL26" s="440">
        <v>0</v>
      </c>
      <c r="AM26" s="440"/>
      <c r="AN26" s="440"/>
      <c r="AO26" s="381"/>
      <c r="AP26" s="381"/>
      <c r="AQ26" s="381"/>
      <c r="AR26" s="381"/>
      <c r="AS26" s="381"/>
      <c r="AT26" s="381"/>
      <c r="AU26" s="381"/>
      <c r="AV26" s="381"/>
      <c r="AW26" s="381"/>
      <c r="AX26" s="381"/>
      <c r="AY26" s="381"/>
      <c r="AZ26" s="381"/>
      <c r="BA26" s="381"/>
      <c r="BB26" s="381"/>
      <c r="BC26" s="381"/>
      <c r="BD26" s="381"/>
      <c r="BE26" s="381"/>
      <c r="BF26" s="381"/>
      <c r="BG26" s="381"/>
      <c r="BH26" s="381"/>
      <c r="BI26" s="381"/>
      <c r="BJ26" s="381"/>
      <c r="BK26" s="442">
        <v>0</v>
      </c>
      <c r="BL26" s="443">
        <v>0</v>
      </c>
      <c r="BM26" s="440"/>
      <c r="BN26" s="440"/>
      <c r="BO26" s="440">
        <v>0</v>
      </c>
      <c r="BP26" s="442">
        <v>0</v>
      </c>
    </row>
    <row r="27" spans="1:68" x14ac:dyDescent="0.2">
      <c r="A27" s="14"/>
      <c r="B27" s="11"/>
      <c r="C27" s="140" t="s">
        <v>1127</v>
      </c>
      <c r="D27" s="255"/>
      <c r="E27" s="381">
        <f t="shared" si="13"/>
        <v>0</v>
      </c>
      <c r="F27" s="381">
        <f t="shared" si="13"/>
        <v>0</v>
      </c>
      <c r="G27" s="442">
        <v>0</v>
      </c>
      <c r="H27" s="442">
        <v>0</v>
      </c>
      <c r="I27" s="440"/>
      <c r="J27" s="440"/>
      <c r="K27" s="440"/>
      <c r="L27" s="440"/>
      <c r="M27" s="440"/>
      <c r="N27" s="440"/>
      <c r="O27" s="442"/>
      <c r="P27" s="440"/>
      <c r="Q27" s="440"/>
      <c r="R27" s="440"/>
      <c r="S27" s="440"/>
      <c r="T27" s="440"/>
      <c r="U27" s="440"/>
      <c r="V27" s="440"/>
      <c r="W27" s="440">
        <v>0</v>
      </c>
      <c r="X27" s="440">
        <v>0</v>
      </c>
      <c r="Y27" s="440"/>
      <c r="Z27" s="440"/>
      <c r="AA27" s="440">
        <v>0</v>
      </c>
      <c r="AB27" s="440">
        <v>0</v>
      </c>
      <c r="AC27" s="440"/>
      <c r="AD27" s="440"/>
      <c r="AE27" s="440"/>
      <c r="AF27" s="440"/>
      <c r="AG27" s="440">
        <v>0</v>
      </c>
      <c r="AH27" s="440">
        <v>0</v>
      </c>
      <c r="AI27" s="381">
        <v>0</v>
      </c>
      <c r="AJ27" s="381">
        <v>0</v>
      </c>
      <c r="AK27" s="440">
        <v>0</v>
      </c>
      <c r="AL27" s="440">
        <v>0</v>
      </c>
      <c r="AM27" s="440"/>
      <c r="AN27" s="440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  <c r="BI27" s="381"/>
      <c r="BJ27" s="381"/>
      <c r="BK27" s="442">
        <v>0</v>
      </c>
      <c r="BL27" s="443">
        <v>0</v>
      </c>
      <c r="BM27" s="440"/>
      <c r="BN27" s="440"/>
      <c r="BO27" s="440">
        <v>0</v>
      </c>
      <c r="BP27" s="442">
        <v>0</v>
      </c>
    </row>
    <row r="28" spans="1:68" x14ac:dyDescent="0.2">
      <c r="A28" s="10"/>
      <c r="B28" s="387"/>
      <c r="C28" s="387" t="s">
        <v>154</v>
      </c>
      <c r="D28" s="7"/>
      <c r="E28" s="381">
        <f t="shared" si="13"/>
        <v>2734686</v>
      </c>
      <c r="F28" s="381">
        <f t="shared" si="13"/>
        <v>2850780</v>
      </c>
      <c r="G28" s="440">
        <v>210000</v>
      </c>
      <c r="H28" s="440">
        <v>210000</v>
      </c>
      <c r="I28" s="440">
        <v>155475</v>
      </c>
      <c r="J28" s="440">
        <v>150000</v>
      </c>
      <c r="K28" s="440">
        <f>37800+20880+22500+58500+13200</f>
        <v>152880</v>
      </c>
      <c r="L28" s="440">
        <v>150000</v>
      </c>
      <c r="M28" s="447">
        <v>153660</v>
      </c>
      <c r="N28" s="447">
        <v>150000</v>
      </c>
      <c r="O28" s="442">
        <v>89800</v>
      </c>
      <c r="P28" s="447">
        <v>85000</v>
      </c>
      <c r="Q28" s="447">
        <v>181200</v>
      </c>
      <c r="R28" s="447">
        <v>181200</v>
      </c>
      <c r="S28" s="440">
        <v>109400</v>
      </c>
      <c r="T28" s="440">
        <v>110000</v>
      </c>
      <c r="U28" s="447">
        <v>162100</v>
      </c>
      <c r="V28" s="447">
        <v>162100</v>
      </c>
      <c r="W28" s="440">
        <v>196840</v>
      </c>
      <c r="X28" s="440">
        <v>200000</v>
      </c>
      <c r="Y28" s="447">
        <v>121435</v>
      </c>
      <c r="Z28" s="447">
        <v>120000</v>
      </c>
      <c r="AA28" s="440">
        <v>65000</v>
      </c>
      <c r="AB28" s="440">
        <v>65000</v>
      </c>
      <c r="AC28" s="467">
        <v>50000</v>
      </c>
      <c r="AD28" s="466">
        <v>150000</v>
      </c>
      <c r="AE28" s="447">
        <v>130000</v>
      </c>
      <c r="AF28" s="447">
        <v>130000</v>
      </c>
      <c r="AG28" s="440">
        <v>136000</v>
      </c>
      <c r="AH28" s="440">
        <v>113980</v>
      </c>
      <c r="AI28" s="381">
        <v>252396</v>
      </c>
      <c r="AJ28" s="381">
        <v>300000</v>
      </c>
      <c r="AK28" s="440">
        <v>155500</v>
      </c>
      <c r="AL28" s="440">
        <v>155500</v>
      </c>
      <c r="AM28" s="447">
        <v>288000</v>
      </c>
      <c r="AN28" s="447">
        <v>288000</v>
      </c>
      <c r="AO28" s="381"/>
      <c r="AP28" s="381"/>
      <c r="AQ28" s="381"/>
      <c r="AR28" s="381"/>
      <c r="AS28" s="381"/>
      <c r="AT28" s="381"/>
      <c r="AU28" s="381"/>
      <c r="AV28" s="381"/>
      <c r="AW28" s="381"/>
      <c r="AX28" s="381"/>
      <c r="AY28" s="381"/>
      <c r="AZ28" s="381"/>
      <c r="BA28" s="381"/>
      <c r="BB28" s="381"/>
      <c r="BC28" s="381"/>
      <c r="BD28" s="381"/>
      <c r="BE28" s="381"/>
      <c r="BF28" s="381"/>
      <c r="BG28" s="381"/>
      <c r="BH28" s="381"/>
      <c r="BI28" s="381"/>
      <c r="BJ28" s="381"/>
      <c r="BK28" s="442">
        <v>0</v>
      </c>
      <c r="BL28" s="443">
        <v>0</v>
      </c>
      <c r="BM28" s="447">
        <v>125000</v>
      </c>
      <c r="BN28" s="447">
        <v>130000</v>
      </c>
      <c r="BO28" s="440">
        <v>0</v>
      </c>
      <c r="BP28" s="440">
        <v>0</v>
      </c>
    </row>
    <row r="29" spans="1:68" s="2" customFormat="1" x14ac:dyDescent="0.2">
      <c r="A29" s="175"/>
      <c r="B29" s="222">
        <v>2.4</v>
      </c>
      <c r="C29" s="88" t="s">
        <v>64</v>
      </c>
      <c r="D29" s="177"/>
      <c r="E29" s="178">
        <f>SUM(E30,E31,E32)</f>
        <v>0</v>
      </c>
      <c r="F29" s="178">
        <f>SUM(F30,F31,F32)</f>
        <v>0</v>
      </c>
      <c r="G29" s="178">
        <f>SUM(G30,G31,G32)</f>
        <v>0</v>
      </c>
      <c r="H29" s="178">
        <f>SUM(H30,H31,H32)</f>
        <v>0</v>
      </c>
      <c r="I29" s="178">
        <f t="shared" ref="I29:Z29" si="14">SUM(I30,I31,I32)</f>
        <v>0</v>
      </c>
      <c r="J29" s="178">
        <f t="shared" si="14"/>
        <v>0</v>
      </c>
      <c r="K29" s="178">
        <f t="shared" si="14"/>
        <v>0</v>
      </c>
      <c r="L29" s="178">
        <f t="shared" si="14"/>
        <v>0</v>
      </c>
      <c r="M29" s="178">
        <f t="shared" si="14"/>
        <v>0</v>
      </c>
      <c r="N29" s="178">
        <f t="shared" si="14"/>
        <v>0</v>
      </c>
      <c r="O29" s="178">
        <f t="shared" si="14"/>
        <v>0</v>
      </c>
      <c r="P29" s="178">
        <f t="shared" si="14"/>
        <v>0</v>
      </c>
      <c r="Q29" s="178">
        <f t="shared" si="14"/>
        <v>0</v>
      </c>
      <c r="R29" s="178">
        <f t="shared" si="14"/>
        <v>0</v>
      </c>
      <c r="S29" s="178">
        <f t="shared" si="14"/>
        <v>0</v>
      </c>
      <c r="T29" s="178">
        <f t="shared" si="14"/>
        <v>0</v>
      </c>
      <c r="U29" s="178">
        <f t="shared" si="14"/>
        <v>0</v>
      </c>
      <c r="V29" s="178">
        <f t="shared" si="14"/>
        <v>0</v>
      </c>
      <c r="W29" s="178">
        <f t="shared" si="14"/>
        <v>0</v>
      </c>
      <c r="X29" s="178">
        <f t="shared" si="14"/>
        <v>0</v>
      </c>
      <c r="Y29" s="178">
        <f t="shared" si="14"/>
        <v>0</v>
      </c>
      <c r="Z29" s="178">
        <f t="shared" si="14"/>
        <v>0</v>
      </c>
      <c r="AA29" s="178">
        <f t="shared" ref="AA29:BN29" si="15">SUM(AA30,AA31,AA32)</f>
        <v>0</v>
      </c>
      <c r="AB29" s="178">
        <f t="shared" si="15"/>
        <v>0</v>
      </c>
      <c r="AC29" s="178">
        <f t="shared" si="15"/>
        <v>0</v>
      </c>
      <c r="AD29" s="178">
        <f t="shared" si="15"/>
        <v>0</v>
      </c>
      <c r="AE29" s="178">
        <f t="shared" si="15"/>
        <v>0</v>
      </c>
      <c r="AF29" s="178">
        <f t="shared" si="15"/>
        <v>0</v>
      </c>
      <c r="AG29" s="178">
        <f t="shared" si="15"/>
        <v>0</v>
      </c>
      <c r="AH29" s="178">
        <f t="shared" si="15"/>
        <v>0</v>
      </c>
      <c r="AI29" s="178">
        <f t="shared" si="15"/>
        <v>0</v>
      </c>
      <c r="AJ29" s="178">
        <f t="shared" si="15"/>
        <v>0</v>
      </c>
      <c r="AK29" s="178">
        <f t="shared" si="15"/>
        <v>0</v>
      </c>
      <c r="AL29" s="178">
        <f t="shared" si="15"/>
        <v>0</v>
      </c>
      <c r="AM29" s="178">
        <f t="shared" si="15"/>
        <v>0</v>
      </c>
      <c r="AN29" s="178">
        <f t="shared" si="15"/>
        <v>0</v>
      </c>
      <c r="AO29" s="178">
        <f t="shared" si="15"/>
        <v>0</v>
      </c>
      <c r="AP29" s="178">
        <f t="shared" si="15"/>
        <v>0</v>
      </c>
      <c r="AQ29" s="178">
        <f t="shared" si="15"/>
        <v>0</v>
      </c>
      <c r="AR29" s="178">
        <f t="shared" si="15"/>
        <v>0</v>
      </c>
      <c r="AS29" s="178">
        <f t="shared" si="15"/>
        <v>0</v>
      </c>
      <c r="AT29" s="178">
        <f t="shared" si="15"/>
        <v>0</v>
      </c>
      <c r="AU29" s="178">
        <f t="shared" si="15"/>
        <v>0</v>
      </c>
      <c r="AV29" s="178">
        <f t="shared" si="15"/>
        <v>0</v>
      </c>
      <c r="AW29" s="178">
        <f t="shared" si="15"/>
        <v>0</v>
      </c>
      <c r="AX29" s="178">
        <f t="shared" si="15"/>
        <v>0</v>
      </c>
      <c r="AY29" s="178">
        <f t="shared" si="15"/>
        <v>0</v>
      </c>
      <c r="AZ29" s="178">
        <f t="shared" si="15"/>
        <v>0</v>
      </c>
      <c r="BA29" s="178">
        <f t="shared" si="15"/>
        <v>0</v>
      </c>
      <c r="BB29" s="178">
        <f t="shared" si="15"/>
        <v>0</v>
      </c>
      <c r="BC29" s="178">
        <f t="shared" si="15"/>
        <v>0</v>
      </c>
      <c r="BD29" s="178">
        <f t="shared" si="15"/>
        <v>0</v>
      </c>
      <c r="BE29" s="178">
        <f t="shared" si="15"/>
        <v>0</v>
      </c>
      <c r="BF29" s="178">
        <f t="shared" si="15"/>
        <v>0</v>
      </c>
      <c r="BG29" s="178">
        <f t="shared" si="15"/>
        <v>0</v>
      </c>
      <c r="BH29" s="178">
        <f t="shared" si="15"/>
        <v>0</v>
      </c>
      <c r="BI29" s="178">
        <f t="shared" si="15"/>
        <v>0</v>
      </c>
      <c r="BJ29" s="178">
        <f t="shared" si="15"/>
        <v>0</v>
      </c>
      <c r="BK29" s="178">
        <f t="shared" si="15"/>
        <v>0</v>
      </c>
      <c r="BL29" s="178">
        <f t="shared" si="15"/>
        <v>0</v>
      </c>
      <c r="BM29" s="178">
        <f t="shared" si="15"/>
        <v>0</v>
      </c>
      <c r="BN29" s="178">
        <f t="shared" si="15"/>
        <v>0</v>
      </c>
      <c r="BO29" s="178">
        <f>SUM(BO30,BO31,BO32)</f>
        <v>0</v>
      </c>
      <c r="BP29" s="178">
        <f>SUM(BP30,BP31,BP32)</f>
        <v>0</v>
      </c>
    </row>
    <row r="30" spans="1:68" s="2" customFormat="1" x14ac:dyDescent="0.2">
      <c r="A30" s="139"/>
      <c r="B30" s="140"/>
      <c r="C30" s="140" t="s">
        <v>1113</v>
      </c>
      <c r="D30" s="14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360"/>
      <c r="BP30" s="360"/>
    </row>
    <row r="31" spans="1:68" s="2" customFormat="1" x14ac:dyDescent="0.2">
      <c r="A31" s="139"/>
      <c r="B31" s="140"/>
      <c r="C31" s="140" t="s">
        <v>1114</v>
      </c>
      <c r="D31" s="14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</row>
    <row r="32" spans="1:68" s="2" customFormat="1" x14ac:dyDescent="0.2">
      <c r="A32" s="139"/>
      <c r="B32" s="140"/>
      <c r="C32" s="140" t="s">
        <v>1118</v>
      </c>
      <c r="D32" s="14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360"/>
      <c r="BP32" s="360"/>
    </row>
    <row r="33" spans="1:68" s="2" customFormat="1" x14ac:dyDescent="0.2">
      <c r="A33" s="14"/>
      <c r="B33" s="11"/>
      <c r="C33" s="11"/>
      <c r="D33" s="11" t="s">
        <v>1119</v>
      </c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360"/>
      <c r="BP33" s="360"/>
    </row>
    <row r="34" spans="1:68" s="2" customFormat="1" x14ac:dyDescent="0.2">
      <c r="A34" s="14"/>
      <c r="B34" s="11"/>
      <c r="C34" s="11"/>
      <c r="D34" s="11" t="s">
        <v>9</v>
      </c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  <c r="BO34" s="360"/>
      <c r="BP34" s="360"/>
    </row>
    <row r="35" spans="1:68" s="2" customFormat="1" x14ac:dyDescent="0.2">
      <c r="A35" s="14"/>
      <c r="B35" s="11"/>
      <c r="C35" s="11"/>
      <c r="D35" s="11" t="s">
        <v>1120</v>
      </c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  <c r="BO35" s="360"/>
      <c r="BP35" s="360"/>
    </row>
    <row r="36" spans="1:68" s="2" customFormat="1" x14ac:dyDescent="0.2">
      <c r="A36" s="14"/>
      <c r="B36" s="11"/>
      <c r="C36" s="11"/>
      <c r="D36" s="11" t="s">
        <v>1121</v>
      </c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360"/>
      <c r="BP36" s="360"/>
    </row>
    <row r="37" spans="1:68" s="2" customFormat="1" x14ac:dyDescent="0.2">
      <c r="A37" s="175"/>
      <c r="B37" s="176" t="s">
        <v>155</v>
      </c>
      <c r="C37" s="88"/>
      <c r="D37" s="177"/>
      <c r="E37" s="178">
        <f>SUM(E38:E39)</f>
        <v>2076380</v>
      </c>
      <c r="F37" s="178">
        <f>SUM(F38:F39)</f>
        <v>1923750</v>
      </c>
      <c r="G37" s="178">
        <f>SUM(G38:G39)</f>
        <v>250000</v>
      </c>
      <c r="H37" s="178">
        <f>SUM(H38:H39)</f>
        <v>129000</v>
      </c>
      <c r="I37" s="178">
        <f t="shared" ref="I37:Z37" si="16">SUM(I38:I39)</f>
        <v>139000</v>
      </c>
      <c r="J37" s="178">
        <f t="shared" si="16"/>
        <v>168750</v>
      </c>
      <c r="K37" s="178">
        <f t="shared" si="16"/>
        <v>99000</v>
      </c>
      <c r="L37" s="178">
        <f t="shared" si="16"/>
        <v>132000</v>
      </c>
      <c r="M37" s="178">
        <f t="shared" si="16"/>
        <v>67000</v>
      </c>
      <c r="N37" s="178">
        <f t="shared" si="16"/>
        <v>198500</v>
      </c>
      <c r="O37" s="178">
        <f t="shared" si="16"/>
        <v>66500</v>
      </c>
      <c r="P37" s="178">
        <f t="shared" si="16"/>
        <v>57000</v>
      </c>
      <c r="Q37" s="178">
        <f t="shared" si="16"/>
        <v>150000</v>
      </c>
      <c r="R37" s="178">
        <f t="shared" si="16"/>
        <v>111000</v>
      </c>
      <c r="S37" s="178">
        <f t="shared" si="16"/>
        <v>80000</v>
      </c>
      <c r="T37" s="178">
        <f t="shared" si="16"/>
        <v>85000</v>
      </c>
      <c r="U37" s="178">
        <f t="shared" si="16"/>
        <v>150000</v>
      </c>
      <c r="V37" s="178">
        <f t="shared" si="16"/>
        <v>112500</v>
      </c>
      <c r="W37" s="178">
        <f t="shared" si="16"/>
        <v>98700</v>
      </c>
      <c r="X37" s="178">
        <f t="shared" si="16"/>
        <v>198500</v>
      </c>
      <c r="Y37" s="178">
        <f t="shared" si="16"/>
        <v>51000</v>
      </c>
      <c r="Z37" s="178">
        <f t="shared" si="16"/>
        <v>74000</v>
      </c>
      <c r="AA37" s="178">
        <f t="shared" ref="AA37:BN37" si="17">SUM(AA38:AA39)</f>
        <v>106000</v>
      </c>
      <c r="AB37" s="178">
        <f t="shared" si="17"/>
        <v>72000</v>
      </c>
      <c r="AC37" s="178">
        <f t="shared" si="17"/>
        <v>114900</v>
      </c>
      <c r="AD37" s="178">
        <f t="shared" si="17"/>
        <v>77000</v>
      </c>
      <c r="AE37" s="178">
        <f t="shared" si="17"/>
        <v>100000</v>
      </c>
      <c r="AF37" s="178">
        <f t="shared" si="17"/>
        <v>94000</v>
      </c>
      <c r="AG37" s="178">
        <f t="shared" si="17"/>
        <v>122600</v>
      </c>
      <c r="AH37" s="178">
        <f t="shared" si="17"/>
        <v>85000</v>
      </c>
      <c r="AI37" s="178">
        <f t="shared" si="17"/>
        <v>86380</v>
      </c>
      <c r="AJ37" s="178">
        <f t="shared" si="17"/>
        <v>0</v>
      </c>
      <c r="AK37" s="178">
        <f t="shared" si="17"/>
        <v>68400</v>
      </c>
      <c r="AL37" s="178">
        <f t="shared" si="17"/>
        <v>50000</v>
      </c>
      <c r="AM37" s="178">
        <f t="shared" si="17"/>
        <v>201900</v>
      </c>
      <c r="AN37" s="178">
        <f t="shared" si="17"/>
        <v>85000</v>
      </c>
      <c r="AO37" s="178">
        <f t="shared" si="17"/>
        <v>0</v>
      </c>
      <c r="AP37" s="178">
        <f t="shared" si="17"/>
        <v>0</v>
      </c>
      <c r="AQ37" s="178">
        <f t="shared" si="17"/>
        <v>0</v>
      </c>
      <c r="AR37" s="178">
        <f t="shared" si="17"/>
        <v>0</v>
      </c>
      <c r="AS37" s="178">
        <f t="shared" si="17"/>
        <v>0</v>
      </c>
      <c r="AT37" s="178">
        <f t="shared" si="17"/>
        <v>0</v>
      </c>
      <c r="AU37" s="178">
        <f t="shared" si="17"/>
        <v>0</v>
      </c>
      <c r="AV37" s="178">
        <f t="shared" si="17"/>
        <v>0</v>
      </c>
      <c r="AW37" s="178">
        <f t="shared" si="17"/>
        <v>0</v>
      </c>
      <c r="AX37" s="178">
        <f t="shared" si="17"/>
        <v>0</v>
      </c>
      <c r="AY37" s="178">
        <f t="shared" si="17"/>
        <v>0</v>
      </c>
      <c r="AZ37" s="178">
        <f t="shared" si="17"/>
        <v>0</v>
      </c>
      <c r="BA37" s="178">
        <f t="shared" si="17"/>
        <v>0</v>
      </c>
      <c r="BB37" s="178">
        <f t="shared" si="17"/>
        <v>0</v>
      </c>
      <c r="BC37" s="178">
        <f t="shared" si="17"/>
        <v>0</v>
      </c>
      <c r="BD37" s="178">
        <f t="shared" si="17"/>
        <v>0</v>
      </c>
      <c r="BE37" s="178">
        <f t="shared" si="17"/>
        <v>0</v>
      </c>
      <c r="BF37" s="178">
        <f t="shared" si="17"/>
        <v>0</v>
      </c>
      <c r="BG37" s="178">
        <f t="shared" si="17"/>
        <v>0</v>
      </c>
      <c r="BH37" s="178">
        <f t="shared" si="17"/>
        <v>0</v>
      </c>
      <c r="BI37" s="178">
        <f t="shared" si="17"/>
        <v>0</v>
      </c>
      <c r="BJ37" s="178">
        <f t="shared" si="17"/>
        <v>0</v>
      </c>
      <c r="BK37" s="178">
        <f t="shared" si="17"/>
        <v>0</v>
      </c>
      <c r="BL37" s="178">
        <f t="shared" si="17"/>
        <v>100500</v>
      </c>
      <c r="BM37" s="178">
        <f t="shared" si="17"/>
        <v>125000</v>
      </c>
      <c r="BN37" s="178">
        <f t="shared" si="17"/>
        <v>94000</v>
      </c>
      <c r="BO37" s="178">
        <f>SUM(BO38:BO39)</f>
        <v>0</v>
      </c>
      <c r="BP37" s="178">
        <f>SUM(BP38:BP39)</f>
        <v>0</v>
      </c>
    </row>
    <row r="38" spans="1:68" s="2" customFormat="1" x14ac:dyDescent="0.2">
      <c r="A38" s="10"/>
      <c r="B38" s="387"/>
      <c r="C38" s="387" t="s">
        <v>1265</v>
      </c>
      <c r="D38" s="387"/>
      <c r="E38" s="381">
        <f>SUMIF($G$2:$BP$2,E$2,($G38:$BP38))</f>
        <v>2076380</v>
      </c>
      <c r="F38" s="381">
        <f>SUMIF($G$2:$BP$2,F$2,($G38:$BP38))</f>
        <v>1923750</v>
      </c>
      <c r="G38" s="440">
        <v>250000</v>
      </c>
      <c r="H38" s="441">
        <v>129000</v>
      </c>
      <c r="I38" s="440">
        <v>139000</v>
      </c>
      <c r="J38" s="441">
        <v>168750</v>
      </c>
      <c r="K38" s="440">
        <v>99000</v>
      </c>
      <c r="L38" s="441">
        <v>132000</v>
      </c>
      <c r="M38" s="440">
        <v>67000</v>
      </c>
      <c r="N38" s="441">
        <v>198500</v>
      </c>
      <c r="O38" s="440">
        <v>66500</v>
      </c>
      <c r="P38" s="441">
        <v>57000</v>
      </c>
      <c r="Q38" s="440">
        <v>150000</v>
      </c>
      <c r="R38" s="441">
        <v>111000</v>
      </c>
      <c r="S38" s="440">
        <v>80000</v>
      </c>
      <c r="T38" s="441">
        <v>85000</v>
      </c>
      <c r="U38" s="440">
        <v>150000</v>
      </c>
      <c r="V38" s="441">
        <v>112500</v>
      </c>
      <c r="W38" s="440">
        <v>98700</v>
      </c>
      <c r="X38" s="441">
        <v>198500</v>
      </c>
      <c r="Y38" s="440">
        <v>51000</v>
      </c>
      <c r="Z38" s="441">
        <v>74000</v>
      </c>
      <c r="AA38" s="440">
        <v>106000</v>
      </c>
      <c r="AB38" s="440">
        <v>72000</v>
      </c>
      <c r="AC38" s="440">
        <v>114900</v>
      </c>
      <c r="AD38" s="441">
        <v>77000</v>
      </c>
      <c r="AE38" s="440">
        <v>100000</v>
      </c>
      <c r="AF38" s="440">
        <v>94000</v>
      </c>
      <c r="AG38" s="440">
        <v>122600</v>
      </c>
      <c r="AH38" s="440">
        <v>85000</v>
      </c>
      <c r="AI38" s="440">
        <v>86380</v>
      </c>
      <c r="AJ38" s="441">
        <v>0</v>
      </c>
      <c r="AK38" s="440">
        <v>68400</v>
      </c>
      <c r="AL38" s="440">
        <v>50000</v>
      </c>
      <c r="AM38" s="440">
        <v>201900</v>
      </c>
      <c r="AN38" s="441">
        <v>85000</v>
      </c>
      <c r="AO38" s="381"/>
      <c r="AP38" s="382"/>
      <c r="AQ38" s="381"/>
      <c r="AR38" s="382"/>
      <c r="AS38" s="381"/>
      <c r="AT38" s="382"/>
      <c r="AU38" s="381"/>
      <c r="AV38" s="382"/>
      <c r="AW38" s="381"/>
      <c r="AX38" s="382"/>
      <c r="AY38" s="381"/>
      <c r="AZ38" s="382"/>
      <c r="BA38" s="381"/>
      <c r="BB38" s="382"/>
      <c r="BC38" s="381"/>
      <c r="BD38" s="382"/>
      <c r="BE38" s="381"/>
      <c r="BF38" s="382"/>
      <c r="BG38" s="381"/>
      <c r="BH38" s="382"/>
      <c r="BI38" s="381"/>
      <c r="BJ38" s="382"/>
      <c r="BK38" s="440"/>
      <c r="BL38" s="441">
        <v>100500</v>
      </c>
      <c r="BM38" s="440">
        <v>125000</v>
      </c>
      <c r="BN38" s="441">
        <v>94000</v>
      </c>
      <c r="BO38" s="440">
        <v>0</v>
      </c>
      <c r="BP38" s="441">
        <v>0</v>
      </c>
    </row>
    <row r="39" spans="1:68" s="2" customFormat="1" x14ac:dyDescent="0.2">
      <c r="A39" s="14"/>
      <c r="B39" s="11"/>
      <c r="C39" s="11" t="s">
        <v>1634</v>
      </c>
      <c r="D39" s="11"/>
      <c r="E39" s="381">
        <f>SUMIF($G$2:$BP$2,E$2,($G39:$BP39))</f>
        <v>0</v>
      </c>
      <c r="F39" s="381">
        <f>SUMIF($G$2:$BP$2,F$2,($G39:$BP39))</f>
        <v>0</v>
      </c>
      <c r="G39" s="442">
        <v>0</v>
      </c>
      <c r="H39" s="440">
        <v>0</v>
      </c>
      <c r="I39" s="440">
        <v>0</v>
      </c>
      <c r="J39" s="440">
        <v>0</v>
      </c>
      <c r="K39" s="442">
        <v>0</v>
      </c>
      <c r="L39" s="442">
        <v>0</v>
      </c>
      <c r="M39" s="442">
        <v>0</v>
      </c>
      <c r="N39" s="442">
        <v>0</v>
      </c>
      <c r="O39" s="442">
        <v>0</v>
      </c>
      <c r="P39" s="442">
        <v>0</v>
      </c>
      <c r="Q39" s="440">
        <v>0</v>
      </c>
      <c r="R39" s="440">
        <v>0</v>
      </c>
      <c r="S39" s="442">
        <v>0</v>
      </c>
      <c r="T39" s="442">
        <v>0</v>
      </c>
      <c r="U39" s="440">
        <v>0</v>
      </c>
      <c r="V39" s="440">
        <v>0</v>
      </c>
      <c r="W39" s="440">
        <v>0</v>
      </c>
      <c r="X39" s="440">
        <v>0</v>
      </c>
      <c r="Y39" s="442">
        <v>0</v>
      </c>
      <c r="Z39" s="442">
        <v>0</v>
      </c>
      <c r="AA39" s="440">
        <v>0</v>
      </c>
      <c r="AB39" s="440">
        <v>0</v>
      </c>
      <c r="AC39" s="442">
        <v>0</v>
      </c>
      <c r="AD39" s="442">
        <v>0</v>
      </c>
      <c r="AE39" s="440">
        <v>0</v>
      </c>
      <c r="AF39" s="440">
        <v>0</v>
      </c>
      <c r="AG39" s="440">
        <v>0</v>
      </c>
      <c r="AH39" s="440">
        <v>0</v>
      </c>
      <c r="AI39" s="442">
        <v>0</v>
      </c>
      <c r="AJ39" s="440">
        <v>0</v>
      </c>
      <c r="AK39" s="440">
        <v>0</v>
      </c>
      <c r="AL39" s="440">
        <v>0</v>
      </c>
      <c r="AM39" s="440">
        <v>0</v>
      </c>
      <c r="AN39" s="440">
        <v>0</v>
      </c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442">
        <v>0</v>
      </c>
      <c r="BL39" s="442">
        <v>0</v>
      </c>
      <c r="BM39" s="440">
        <v>0</v>
      </c>
      <c r="BN39" s="440">
        <v>0</v>
      </c>
      <c r="BO39" s="442">
        <v>0</v>
      </c>
      <c r="BP39" s="442">
        <v>0</v>
      </c>
    </row>
    <row r="40" spans="1:68" s="2" customFormat="1" x14ac:dyDescent="0.2">
      <c r="A40" s="175"/>
      <c r="B40" s="176" t="s">
        <v>1123</v>
      </c>
      <c r="C40" s="88"/>
      <c r="D40" s="177"/>
      <c r="E40" s="178">
        <f>SUM(E41:E47)</f>
        <v>1750073.7602554888</v>
      </c>
      <c r="F40" s="178">
        <f>SUM(F41:F47)</f>
        <v>1850164.8745890146</v>
      </c>
      <c r="G40" s="178">
        <f t="shared" ref="G40:Z40" si="18">SUM(G41:G47)</f>
        <v>111946.38320939934</v>
      </c>
      <c r="H40" s="178">
        <f t="shared" si="18"/>
        <v>64738</v>
      </c>
      <c r="I40" s="178">
        <f t="shared" si="18"/>
        <v>64738</v>
      </c>
      <c r="J40" s="178">
        <f t="shared" si="18"/>
        <v>64738</v>
      </c>
      <c r="K40" s="178">
        <f t="shared" si="18"/>
        <v>70430</v>
      </c>
      <c r="L40" s="178">
        <f t="shared" si="18"/>
        <v>70430</v>
      </c>
      <c r="M40" s="178">
        <f t="shared" si="18"/>
        <v>181655</v>
      </c>
      <c r="N40" s="178">
        <f t="shared" si="18"/>
        <v>181655</v>
      </c>
      <c r="O40" s="178">
        <f t="shared" si="18"/>
        <v>54859.502457074843</v>
      </c>
      <c r="P40" s="178">
        <f t="shared" si="18"/>
        <v>50000</v>
      </c>
      <c r="Q40" s="178">
        <f t="shared" si="18"/>
        <v>97447</v>
      </c>
      <c r="R40" s="178">
        <f t="shared" si="18"/>
        <v>100000</v>
      </c>
      <c r="S40" s="178">
        <f t="shared" si="18"/>
        <v>118133</v>
      </c>
      <c r="T40" s="178">
        <f t="shared" si="18"/>
        <v>118133</v>
      </c>
      <c r="U40" s="178">
        <f t="shared" si="18"/>
        <v>113575</v>
      </c>
      <c r="V40" s="178">
        <f t="shared" si="18"/>
        <v>113575</v>
      </c>
      <c r="W40" s="178">
        <f t="shared" si="18"/>
        <v>100995</v>
      </c>
      <c r="X40" s="178">
        <f t="shared" si="18"/>
        <v>100995</v>
      </c>
      <c r="Y40" s="178">
        <f t="shared" si="18"/>
        <v>63439</v>
      </c>
      <c r="Z40" s="178">
        <f t="shared" si="18"/>
        <v>63439</v>
      </c>
      <c r="AA40" s="178">
        <f t="shared" ref="AA40:BN40" si="19">SUM(AA41:AA47)</f>
        <v>36091</v>
      </c>
      <c r="AB40" s="178">
        <f t="shared" si="19"/>
        <v>56091</v>
      </c>
      <c r="AC40" s="178">
        <f t="shared" si="19"/>
        <v>140943</v>
      </c>
      <c r="AD40" s="178">
        <f t="shared" si="19"/>
        <v>140943</v>
      </c>
      <c r="AE40" s="178">
        <f t="shared" si="19"/>
        <v>90559</v>
      </c>
      <c r="AF40" s="178">
        <f t="shared" si="19"/>
        <v>90559</v>
      </c>
      <c r="AG40" s="178">
        <f t="shared" si="19"/>
        <v>40897</v>
      </c>
      <c r="AH40" s="178">
        <f t="shared" si="19"/>
        <v>40897</v>
      </c>
      <c r="AI40" s="178">
        <f t="shared" si="19"/>
        <v>219706</v>
      </c>
      <c r="AJ40" s="178">
        <f t="shared" si="19"/>
        <v>350000</v>
      </c>
      <c r="AK40" s="178">
        <f t="shared" si="19"/>
        <v>41185.874589014456</v>
      </c>
      <c r="AL40" s="178">
        <f t="shared" si="19"/>
        <v>41185.874589014456</v>
      </c>
      <c r="AM40" s="178">
        <f t="shared" si="19"/>
        <v>90786</v>
      </c>
      <c r="AN40" s="178">
        <f t="shared" si="19"/>
        <v>90786</v>
      </c>
      <c r="AO40" s="178">
        <f t="shared" si="19"/>
        <v>0</v>
      </c>
      <c r="AP40" s="178">
        <f t="shared" si="19"/>
        <v>0</v>
      </c>
      <c r="AQ40" s="178">
        <f t="shared" si="19"/>
        <v>0</v>
      </c>
      <c r="AR40" s="178">
        <f t="shared" si="19"/>
        <v>0</v>
      </c>
      <c r="AS40" s="178">
        <f t="shared" si="19"/>
        <v>0</v>
      </c>
      <c r="AT40" s="178">
        <f t="shared" si="19"/>
        <v>0</v>
      </c>
      <c r="AU40" s="178">
        <f t="shared" si="19"/>
        <v>0</v>
      </c>
      <c r="AV40" s="178">
        <f t="shared" si="19"/>
        <v>0</v>
      </c>
      <c r="AW40" s="178">
        <f t="shared" si="19"/>
        <v>0</v>
      </c>
      <c r="AX40" s="178">
        <f t="shared" si="19"/>
        <v>0</v>
      </c>
      <c r="AY40" s="178">
        <f t="shared" si="19"/>
        <v>0</v>
      </c>
      <c r="AZ40" s="178">
        <f t="shared" si="19"/>
        <v>0</v>
      </c>
      <c r="BA40" s="178">
        <f t="shared" si="19"/>
        <v>0</v>
      </c>
      <c r="BB40" s="178">
        <f t="shared" si="19"/>
        <v>0</v>
      </c>
      <c r="BC40" s="178">
        <f t="shared" si="19"/>
        <v>0</v>
      </c>
      <c r="BD40" s="178">
        <f t="shared" si="19"/>
        <v>0</v>
      </c>
      <c r="BE40" s="178">
        <f t="shared" si="19"/>
        <v>0</v>
      </c>
      <c r="BF40" s="178">
        <f t="shared" si="19"/>
        <v>0</v>
      </c>
      <c r="BG40" s="178">
        <f t="shared" si="19"/>
        <v>0</v>
      </c>
      <c r="BH40" s="178">
        <f t="shared" si="19"/>
        <v>0</v>
      </c>
      <c r="BI40" s="178">
        <f t="shared" si="19"/>
        <v>0</v>
      </c>
      <c r="BJ40" s="178">
        <f t="shared" si="19"/>
        <v>0</v>
      </c>
      <c r="BK40" s="178">
        <f t="shared" si="19"/>
        <v>0</v>
      </c>
      <c r="BL40" s="178">
        <f t="shared" si="19"/>
        <v>0</v>
      </c>
      <c r="BM40" s="178">
        <f t="shared" si="19"/>
        <v>112688</v>
      </c>
      <c r="BN40" s="178">
        <f t="shared" si="19"/>
        <v>112000</v>
      </c>
      <c r="BO40" s="178">
        <f>SUM(BO41:BO47)</f>
        <v>0</v>
      </c>
      <c r="BP40" s="178">
        <f>SUM(BP41:BP47)</f>
        <v>0</v>
      </c>
    </row>
    <row r="41" spans="1:68" s="2" customFormat="1" x14ac:dyDescent="0.2">
      <c r="A41" s="14"/>
      <c r="B41" s="11"/>
      <c r="C41" s="11" t="s">
        <v>1242</v>
      </c>
      <c r="D41" s="535"/>
      <c r="E41" s="381">
        <f>SUMIF($G$2:$BP$2,E$2,($G41:$BP41))</f>
        <v>1750073.7602554888</v>
      </c>
      <c r="F41" s="381">
        <f>SUMIF($G$2:$BP$2,F$2,($G41:$BP41))</f>
        <v>1750164.8745890146</v>
      </c>
      <c r="G41" s="442">
        <v>111946.38320939934</v>
      </c>
      <c r="H41" s="443">
        <v>64738</v>
      </c>
      <c r="I41" s="442">
        <v>64738</v>
      </c>
      <c r="J41" s="442">
        <v>64738</v>
      </c>
      <c r="K41" s="442">
        <v>70430</v>
      </c>
      <c r="L41" s="442">
        <v>70430</v>
      </c>
      <c r="M41" s="442">
        <v>181655</v>
      </c>
      <c r="N41" s="442">
        <v>181655</v>
      </c>
      <c r="O41" s="440">
        <v>54859.502457074843</v>
      </c>
      <c r="P41" s="440">
        <v>50000</v>
      </c>
      <c r="Q41" s="442">
        <v>97447</v>
      </c>
      <c r="R41" s="442">
        <v>100000</v>
      </c>
      <c r="S41" s="442">
        <v>118133</v>
      </c>
      <c r="T41" s="442">
        <v>118133</v>
      </c>
      <c r="U41" s="442">
        <v>113575</v>
      </c>
      <c r="V41" s="442">
        <v>113575</v>
      </c>
      <c r="W41" s="442">
        <v>100995</v>
      </c>
      <c r="X41" s="442">
        <v>100995</v>
      </c>
      <c r="Y41" s="442">
        <v>63439</v>
      </c>
      <c r="Z41" s="442">
        <v>63439</v>
      </c>
      <c r="AA41" s="442">
        <v>36091</v>
      </c>
      <c r="AB41" s="442">
        <v>56091</v>
      </c>
      <c r="AC41" s="440">
        <v>140943</v>
      </c>
      <c r="AD41" s="440">
        <v>140943</v>
      </c>
      <c r="AE41" s="442">
        <v>90559</v>
      </c>
      <c r="AF41" s="442">
        <v>90559</v>
      </c>
      <c r="AG41" s="442">
        <v>40897</v>
      </c>
      <c r="AH41" s="442">
        <v>40897</v>
      </c>
      <c r="AI41" s="443">
        <v>219706</v>
      </c>
      <c r="AJ41" s="441">
        <v>250000</v>
      </c>
      <c r="AK41" s="440">
        <v>41185.874589014456</v>
      </c>
      <c r="AL41" s="440">
        <v>41185.874589014456</v>
      </c>
      <c r="AM41" s="442">
        <v>90786</v>
      </c>
      <c r="AN41" s="442">
        <v>90786</v>
      </c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442">
        <v>112688</v>
      </c>
      <c r="BN41" s="442">
        <v>112000</v>
      </c>
      <c r="BO41" s="442">
        <v>0</v>
      </c>
      <c r="BP41" s="442">
        <v>0</v>
      </c>
    </row>
    <row r="42" spans="1:68" s="2" customFormat="1" x14ac:dyDescent="0.2">
      <c r="A42" s="14"/>
      <c r="B42" s="11"/>
      <c r="C42" s="11" t="s">
        <v>1243</v>
      </c>
      <c r="D42" s="11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</row>
    <row r="43" spans="1:68" s="2" customFormat="1" x14ac:dyDescent="0.2">
      <c r="A43" s="14"/>
      <c r="B43" s="11"/>
      <c r="C43" s="11" t="s">
        <v>1244</v>
      </c>
      <c r="D43" s="11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2"/>
    </row>
    <row r="44" spans="1:68" s="2" customFormat="1" x14ac:dyDescent="0.2">
      <c r="A44" s="14"/>
      <c r="B44" s="17"/>
      <c r="C44" s="11" t="s">
        <v>1245</v>
      </c>
      <c r="D44" s="11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2"/>
    </row>
    <row r="45" spans="1:68" x14ac:dyDescent="0.2">
      <c r="A45" s="14"/>
      <c r="B45" s="17"/>
      <c r="C45" s="11" t="s">
        <v>1246</v>
      </c>
      <c r="D45" s="11"/>
      <c r="E45" s="381">
        <f t="shared" ref="E45:F47" si="20">SUMIF($G$2:$BP$2,E$2,($G45:$BP45))</f>
        <v>0</v>
      </c>
      <c r="F45" s="381">
        <f t="shared" si="20"/>
        <v>0</v>
      </c>
      <c r="G45" s="381">
        <v>0</v>
      </c>
      <c r="H45" s="381">
        <v>0</v>
      </c>
      <c r="I45" s="381">
        <v>0</v>
      </c>
      <c r="J45" s="381">
        <v>0</v>
      </c>
      <c r="K45" s="442">
        <v>0</v>
      </c>
      <c r="L45" s="443">
        <v>0</v>
      </c>
      <c r="M45" s="206"/>
      <c r="N45" s="218"/>
      <c r="O45" s="206"/>
      <c r="P45" s="218"/>
      <c r="Q45" s="440">
        <v>0</v>
      </c>
      <c r="R45" s="441">
        <v>0</v>
      </c>
      <c r="S45" s="206"/>
      <c r="T45" s="218"/>
      <c r="U45" s="206"/>
      <c r="V45" s="218"/>
      <c r="W45" s="206"/>
      <c r="X45" s="218"/>
      <c r="Y45" s="206"/>
      <c r="Z45" s="218"/>
      <c r="AA45" s="218"/>
      <c r="AB45" s="218"/>
      <c r="AC45" s="381"/>
      <c r="AD45" s="382"/>
      <c r="AE45" s="206"/>
      <c r="AF45" s="218"/>
      <c r="AG45" s="206"/>
      <c r="AH45" s="218"/>
      <c r="AI45" s="443">
        <v>0</v>
      </c>
      <c r="AJ45" s="441">
        <v>0</v>
      </c>
      <c r="AK45" s="206"/>
      <c r="AL45" s="218"/>
      <c r="AM45" s="206"/>
      <c r="AN45" s="218"/>
      <c r="AO45" s="206"/>
      <c r="AP45" s="218"/>
      <c r="AQ45" s="206"/>
      <c r="AR45" s="218"/>
      <c r="AS45" s="206"/>
      <c r="AT45" s="218"/>
      <c r="AU45" s="206"/>
      <c r="AV45" s="218"/>
      <c r="AW45" s="206"/>
      <c r="AX45" s="218"/>
      <c r="AY45" s="206"/>
      <c r="AZ45" s="218"/>
      <c r="BA45" s="206"/>
      <c r="BB45" s="218"/>
      <c r="BC45" s="206"/>
      <c r="BD45" s="218"/>
      <c r="BE45" s="206"/>
      <c r="BF45" s="218"/>
      <c r="BG45" s="206"/>
      <c r="BH45" s="218"/>
      <c r="BI45" s="206"/>
      <c r="BJ45" s="218"/>
      <c r="BK45" s="206"/>
      <c r="BL45" s="218"/>
      <c r="BM45" s="381"/>
      <c r="BN45" s="382"/>
      <c r="BO45" s="442">
        <v>0</v>
      </c>
      <c r="BP45" s="443">
        <v>0</v>
      </c>
    </row>
    <row r="46" spans="1:68" x14ac:dyDescent="0.2">
      <c r="A46" s="14"/>
      <c r="B46" s="11"/>
      <c r="C46" s="11" t="s">
        <v>1247</v>
      </c>
      <c r="D46" s="11"/>
      <c r="E46" s="381">
        <f t="shared" si="20"/>
        <v>0</v>
      </c>
      <c r="F46" s="381">
        <f t="shared" si="20"/>
        <v>0</v>
      </c>
      <c r="G46" s="381">
        <v>0</v>
      </c>
      <c r="H46" s="381">
        <v>0</v>
      </c>
      <c r="I46" s="381">
        <v>0</v>
      </c>
      <c r="J46" s="381">
        <v>0</v>
      </c>
      <c r="K46" s="442">
        <v>0</v>
      </c>
      <c r="L46" s="442">
        <v>0</v>
      </c>
      <c r="M46" s="206"/>
      <c r="N46" s="206"/>
      <c r="O46" s="206"/>
      <c r="P46" s="206"/>
      <c r="Q46" s="442"/>
      <c r="R46" s="442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381"/>
      <c r="AD46" s="381"/>
      <c r="AE46" s="206"/>
      <c r="AF46" s="206"/>
      <c r="AG46" s="206"/>
      <c r="AH46" s="206"/>
      <c r="AI46" s="442">
        <v>0</v>
      </c>
      <c r="AJ46" s="440">
        <v>0</v>
      </c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381"/>
      <c r="BN46" s="381"/>
      <c r="BO46" s="442">
        <v>0</v>
      </c>
      <c r="BP46" s="442">
        <v>0</v>
      </c>
    </row>
    <row r="47" spans="1:68" s="2" customFormat="1" x14ac:dyDescent="0.2">
      <c r="A47" s="14"/>
      <c r="B47" s="17"/>
      <c r="C47" s="11" t="s">
        <v>1248</v>
      </c>
      <c r="D47" s="11"/>
      <c r="E47" s="381">
        <f t="shared" si="20"/>
        <v>0</v>
      </c>
      <c r="F47" s="381">
        <f t="shared" si="20"/>
        <v>100000</v>
      </c>
      <c r="G47" s="381">
        <v>0</v>
      </c>
      <c r="H47" s="381">
        <v>0</v>
      </c>
      <c r="I47" s="381">
        <v>0</v>
      </c>
      <c r="J47" s="381">
        <v>0</v>
      </c>
      <c r="K47" s="442">
        <v>0</v>
      </c>
      <c r="L47" s="442">
        <v>0</v>
      </c>
      <c r="M47" s="206"/>
      <c r="N47" s="206"/>
      <c r="O47" s="206"/>
      <c r="P47" s="206"/>
      <c r="Q47" s="442"/>
      <c r="R47" s="442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381"/>
      <c r="AD47" s="381"/>
      <c r="AE47" s="206"/>
      <c r="AF47" s="206"/>
      <c r="AG47" s="206"/>
      <c r="AH47" s="206"/>
      <c r="AI47" s="442">
        <v>0</v>
      </c>
      <c r="AJ47" s="441">
        <v>100000</v>
      </c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381"/>
      <c r="BN47" s="381"/>
      <c r="BO47" s="442">
        <v>0</v>
      </c>
      <c r="BP47" s="442">
        <v>0</v>
      </c>
    </row>
    <row r="48" spans="1:68" x14ac:dyDescent="0.2">
      <c r="A48" s="175"/>
      <c r="B48" s="176" t="s">
        <v>1129</v>
      </c>
      <c r="C48" s="88"/>
      <c r="D48" s="177"/>
      <c r="E48" s="178">
        <f>SUM(E49:E51)</f>
        <v>0</v>
      </c>
      <c r="F48" s="178">
        <f>SUM(F49:F51)</f>
        <v>0</v>
      </c>
      <c r="G48" s="178">
        <f>SUM(G49:G51)</f>
        <v>0</v>
      </c>
      <c r="H48" s="178">
        <f>SUM(H49:H51)</f>
        <v>0</v>
      </c>
      <c r="I48" s="178">
        <f t="shared" ref="I48:Z48" si="21">SUM(I49:I51)</f>
        <v>0</v>
      </c>
      <c r="J48" s="178">
        <f t="shared" si="21"/>
        <v>0</v>
      </c>
      <c r="K48" s="178">
        <f t="shared" si="21"/>
        <v>0</v>
      </c>
      <c r="L48" s="178">
        <f t="shared" si="21"/>
        <v>0</v>
      </c>
      <c r="M48" s="178">
        <f t="shared" si="21"/>
        <v>0</v>
      </c>
      <c r="N48" s="178">
        <f t="shared" si="21"/>
        <v>0</v>
      </c>
      <c r="O48" s="178">
        <f t="shared" si="21"/>
        <v>0</v>
      </c>
      <c r="P48" s="178">
        <f t="shared" si="21"/>
        <v>0</v>
      </c>
      <c r="Q48" s="178">
        <f t="shared" si="21"/>
        <v>0</v>
      </c>
      <c r="R48" s="178">
        <f t="shared" si="21"/>
        <v>0</v>
      </c>
      <c r="S48" s="178">
        <f t="shared" si="21"/>
        <v>0</v>
      </c>
      <c r="T48" s="178">
        <f t="shared" si="21"/>
        <v>0</v>
      </c>
      <c r="U48" s="178">
        <f t="shared" si="21"/>
        <v>0</v>
      </c>
      <c r="V48" s="178">
        <f t="shared" si="21"/>
        <v>0</v>
      </c>
      <c r="W48" s="178">
        <f t="shared" si="21"/>
        <v>0</v>
      </c>
      <c r="X48" s="178">
        <f t="shared" si="21"/>
        <v>0</v>
      </c>
      <c r="Y48" s="178">
        <f t="shared" si="21"/>
        <v>0</v>
      </c>
      <c r="Z48" s="178">
        <f t="shared" si="21"/>
        <v>0</v>
      </c>
      <c r="AA48" s="178">
        <f t="shared" ref="AA48:BN48" si="22">SUM(AA49:AA51)</f>
        <v>0</v>
      </c>
      <c r="AB48" s="178">
        <f t="shared" si="22"/>
        <v>0</v>
      </c>
      <c r="AC48" s="178">
        <f t="shared" si="22"/>
        <v>0</v>
      </c>
      <c r="AD48" s="178">
        <f t="shared" si="22"/>
        <v>0</v>
      </c>
      <c r="AE48" s="178">
        <f t="shared" si="22"/>
        <v>0</v>
      </c>
      <c r="AF48" s="178">
        <f t="shared" si="22"/>
        <v>0</v>
      </c>
      <c r="AG48" s="178">
        <f t="shared" si="22"/>
        <v>0</v>
      </c>
      <c r="AH48" s="178">
        <f t="shared" si="22"/>
        <v>0</v>
      </c>
      <c r="AI48" s="178">
        <f t="shared" si="22"/>
        <v>0</v>
      </c>
      <c r="AJ48" s="178">
        <f t="shared" si="22"/>
        <v>0</v>
      </c>
      <c r="AK48" s="178">
        <f t="shared" si="22"/>
        <v>0</v>
      </c>
      <c r="AL48" s="178">
        <f t="shared" si="22"/>
        <v>0</v>
      </c>
      <c r="AM48" s="178">
        <f t="shared" si="22"/>
        <v>0</v>
      </c>
      <c r="AN48" s="178">
        <f t="shared" si="22"/>
        <v>0</v>
      </c>
      <c r="AO48" s="178">
        <f t="shared" si="22"/>
        <v>0</v>
      </c>
      <c r="AP48" s="178">
        <f t="shared" si="22"/>
        <v>0</v>
      </c>
      <c r="AQ48" s="178">
        <f t="shared" si="22"/>
        <v>0</v>
      </c>
      <c r="AR48" s="178">
        <f t="shared" si="22"/>
        <v>0</v>
      </c>
      <c r="AS48" s="178">
        <f t="shared" si="22"/>
        <v>0</v>
      </c>
      <c r="AT48" s="178">
        <f t="shared" si="22"/>
        <v>0</v>
      </c>
      <c r="AU48" s="178">
        <f t="shared" si="22"/>
        <v>0</v>
      </c>
      <c r="AV48" s="178">
        <f t="shared" si="22"/>
        <v>0</v>
      </c>
      <c r="AW48" s="178">
        <f t="shared" si="22"/>
        <v>0</v>
      </c>
      <c r="AX48" s="178">
        <f t="shared" si="22"/>
        <v>0</v>
      </c>
      <c r="AY48" s="178">
        <f t="shared" si="22"/>
        <v>0</v>
      </c>
      <c r="AZ48" s="178">
        <f t="shared" si="22"/>
        <v>0</v>
      </c>
      <c r="BA48" s="178">
        <f t="shared" si="22"/>
        <v>0</v>
      </c>
      <c r="BB48" s="178">
        <f t="shared" si="22"/>
        <v>0</v>
      </c>
      <c r="BC48" s="178">
        <f t="shared" si="22"/>
        <v>0</v>
      </c>
      <c r="BD48" s="178">
        <f t="shared" si="22"/>
        <v>0</v>
      </c>
      <c r="BE48" s="178">
        <f t="shared" si="22"/>
        <v>0</v>
      </c>
      <c r="BF48" s="178">
        <f t="shared" si="22"/>
        <v>0</v>
      </c>
      <c r="BG48" s="178">
        <f t="shared" si="22"/>
        <v>0</v>
      </c>
      <c r="BH48" s="178">
        <f t="shared" si="22"/>
        <v>0</v>
      </c>
      <c r="BI48" s="178">
        <f t="shared" si="22"/>
        <v>0</v>
      </c>
      <c r="BJ48" s="178">
        <f t="shared" si="22"/>
        <v>0</v>
      </c>
      <c r="BK48" s="178">
        <f t="shared" si="22"/>
        <v>0</v>
      </c>
      <c r="BL48" s="178">
        <f t="shared" si="22"/>
        <v>0</v>
      </c>
      <c r="BM48" s="178">
        <f t="shared" si="22"/>
        <v>0</v>
      </c>
      <c r="BN48" s="178">
        <f t="shared" si="22"/>
        <v>0</v>
      </c>
      <c r="BO48" s="178">
        <f>SUM(BO49:BO51)</f>
        <v>0</v>
      </c>
      <c r="BP48" s="178">
        <f>SUM(BP49:BP51)</f>
        <v>0</v>
      </c>
    </row>
    <row r="49" spans="1:68" x14ac:dyDescent="0.2">
      <c r="A49" s="14"/>
      <c r="B49" s="11"/>
      <c r="C49" s="11" t="s">
        <v>1249</v>
      </c>
      <c r="D49" s="11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362"/>
      <c r="BP49" s="362"/>
    </row>
    <row r="50" spans="1:68" x14ac:dyDescent="0.2">
      <c r="A50" s="14"/>
      <c r="B50" s="11"/>
      <c r="C50" s="11" t="s">
        <v>1250</v>
      </c>
      <c r="D50" s="11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362"/>
      <c r="BP50" s="362"/>
    </row>
    <row r="51" spans="1:68" s="2" customFormat="1" x14ac:dyDescent="0.2">
      <c r="A51" s="14"/>
      <c r="B51" s="11"/>
      <c r="C51" s="11" t="s">
        <v>1251</v>
      </c>
      <c r="D51" s="11"/>
      <c r="E51" s="381">
        <f>SUMIF($G$2:$BP$2,E$2,($G51:$BP51))</f>
        <v>0</v>
      </c>
      <c r="F51" s="381">
        <f>SUMIF($G$2:$BP$2,F$2,($G51:$BP51))</f>
        <v>0</v>
      </c>
      <c r="G51" s="381"/>
      <c r="H51" s="381"/>
      <c r="I51" s="206"/>
      <c r="J51" s="206"/>
      <c r="K51" s="206">
        <v>0</v>
      </c>
      <c r="L51" s="206">
        <v>0</v>
      </c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>
        <v>0</v>
      </c>
      <c r="AB51" s="206">
        <v>0</v>
      </c>
      <c r="AC51" s="206">
        <v>0</v>
      </c>
      <c r="AD51" s="206">
        <v>0</v>
      </c>
      <c r="AE51" s="206"/>
      <c r="AF51" s="206"/>
      <c r="AG51" s="206"/>
      <c r="AH51" s="206"/>
      <c r="AI51" s="206">
        <v>0</v>
      </c>
      <c r="AJ51" s="206">
        <v>0</v>
      </c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>
        <v>0</v>
      </c>
      <c r="BN51" s="206">
        <v>0</v>
      </c>
      <c r="BO51" s="442">
        <v>0</v>
      </c>
      <c r="BP51" s="442">
        <v>0</v>
      </c>
    </row>
    <row r="52" spans="1:68" x14ac:dyDescent="0.2">
      <c r="A52" s="175"/>
      <c r="B52" s="176" t="s">
        <v>1130</v>
      </c>
      <c r="C52" s="88"/>
      <c r="D52" s="177"/>
      <c r="E52" s="178">
        <f>SUM(E53:E55)</f>
        <v>0</v>
      </c>
      <c r="F52" s="178">
        <f>SUM(F53:F55)</f>
        <v>0</v>
      </c>
      <c r="G52" s="178">
        <f>SUM(G53:G55)</f>
        <v>0</v>
      </c>
      <c r="H52" s="178">
        <f>SUM(H53:H55)</f>
        <v>0</v>
      </c>
      <c r="I52" s="178">
        <f t="shared" ref="I52:Z52" si="23">SUM(I53:I55)</f>
        <v>0</v>
      </c>
      <c r="J52" s="178">
        <f t="shared" si="23"/>
        <v>0</v>
      </c>
      <c r="K52" s="178">
        <f t="shared" si="23"/>
        <v>0</v>
      </c>
      <c r="L52" s="178">
        <f t="shared" si="23"/>
        <v>0</v>
      </c>
      <c r="M52" s="178">
        <f t="shared" si="23"/>
        <v>0</v>
      </c>
      <c r="N52" s="178">
        <f t="shared" si="23"/>
        <v>0</v>
      </c>
      <c r="O52" s="178">
        <f t="shared" si="23"/>
        <v>0</v>
      </c>
      <c r="P52" s="178">
        <f t="shared" si="23"/>
        <v>0</v>
      </c>
      <c r="Q52" s="178">
        <f t="shared" si="23"/>
        <v>0</v>
      </c>
      <c r="R52" s="178">
        <f t="shared" si="23"/>
        <v>0</v>
      </c>
      <c r="S52" s="178">
        <f t="shared" si="23"/>
        <v>0</v>
      </c>
      <c r="T52" s="178">
        <f t="shared" si="23"/>
        <v>0</v>
      </c>
      <c r="U52" s="178">
        <f t="shared" si="23"/>
        <v>0</v>
      </c>
      <c r="V52" s="178">
        <f t="shared" si="23"/>
        <v>0</v>
      </c>
      <c r="W52" s="178">
        <f t="shared" si="23"/>
        <v>0</v>
      </c>
      <c r="X52" s="178">
        <f t="shared" si="23"/>
        <v>0</v>
      </c>
      <c r="Y52" s="178">
        <f t="shared" si="23"/>
        <v>0</v>
      </c>
      <c r="Z52" s="178">
        <f t="shared" si="23"/>
        <v>0</v>
      </c>
      <c r="AA52" s="178">
        <f t="shared" ref="AA52:BN52" si="24">SUM(AA53:AA55)</f>
        <v>0</v>
      </c>
      <c r="AB52" s="178">
        <f t="shared" si="24"/>
        <v>0</v>
      </c>
      <c r="AC52" s="178">
        <f t="shared" si="24"/>
        <v>0</v>
      </c>
      <c r="AD52" s="178">
        <f t="shared" si="24"/>
        <v>0</v>
      </c>
      <c r="AE52" s="178">
        <f t="shared" si="24"/>
        <v>0</v>
      </c>
      <c r="AF52" s="178">
        <f t="shared" si="24"/>
        <v>0</v>
      </c>
      <c r="AG52" s="178">
        <f t="shared" si="24"/>
        <v>0</v>
      </c>
      <c r="AH52" s="178">
        <f t="shared" si="24"/>
        <v>0</v>
      </c>
      <c r="AI52" s="178">
        <f t="shared" si="24"/>
        <v>0</v>
      </c>
      <c r="AJ52" s="178">
        <f t="shared" si="24"/>
        <v>0</v>
      </c>
      <c r="AK52" s="178">
        <f t="shared" si="24"/>
        <v>0</v>
      </c>
      <c r="AL52" s="178">
        <f t="shared" si="24"/>
        <v>0</v>
      </c>
      <c r="AM52" s="178">
        <f t="shared" si="24"/>
        <v>0</v>
      </c>
      <c r="AN52" s="178">
        <f t="shared" si="24"/>
        <v>0</v>
      </c>
      <c r="AO52" s="178">
        <f t="shared" si="24"/>
        <v>0</v>
      </c>
      <c r="AP52" s="178">
        <f t="shared" si="24"/>
        <v>0</v>
      </c>
      <c r="AQ52" s="178">
        <f t="shared" si="24"/>
        <v>0</v>
      </c>
      <c r="AR52" s="178">
        <f t="shared" si="24"/>
        <v>0</v>
      </c>
      <c r="AS52" s="178">
        <f t="shared" si="24"/>
        <v>0</v>
      </c>
      <c r="AT52" s="178">
        <f t="shared" si="24"/>
        <v>0</v>
      </c>
      <c r="AU52" s="178">
        <f t="shared" si="24"/>
        <v>0</v>
      </c>
      <c r="AV52" s="178">
        <f t="shared" si="24"/>
        <v>0</v>
      </c>
      <c r="AW52" s="178">
        <f t="shared" si="24"/>
        <v>0</v>
      </c>
      <c r="AX52" s="178">
        <f t="shared" si="24"/>
        <v>0</v>
      </c>
      <c r="AY52" s="178">
        <f t="shared" si="24"/>
        <v>0</v>
      </c>
      <c r="AZ52" s="178">
        <f t="shared" si="24"/>
        <v>0</v>
      </c>
      <c r="BA52" s="178">
        <f t="shared" si="24"/>
        <v>0</v>
      </c>
      <c r="BB52" s="178">
        <f t="shared" si="24"/>
        <v>0</v>
      </c>
      <c r="BC52" s="178">
        <f t="shared" si="24"/>
        <v>0</v>
      </c>
      <c r="BD52" s="178">
        <f t="shared" si="24"/>
        <v>0</v>
      </c>
      <c r="BE52" s="178">
        <f t="shared" si="24"/>
        <v>0</v>
      </c>
      <c r="BF52" s="178">
        <f t="shared" si="24"/>
        <v>0</v>
      </c>
      <c r="BG52" s="178">
        <f t="shared" si="24"/>
        <v>0</v>
      </c>
      <c r="BH52" s="178">
        <f t="shared" si="24"/>
        <v>0</v>
      </c>
      <c r="BI52" s="178">
        <f t="shared" si="24"/>
        <v>0</v>
      </c>
      <c r="BJ52" s="178">
        <f t="shared" si="24"/>
        <v>0</v>
      </c>
      <c r="BK52" s="178">
        <f t="shared" si="24"/>
        <v>0</v>
      </c>
      <c r="BL52" s="178">
        <f t="shared" si="24"/>
        <v>0</v>
      </c>
      <c r="BM52" s="178">
        <f t="shared" si="24"/>
        <v>0</v>
      </c>
      <c r="BN52" s="178">
        <f t="shared" si="24"/>
        <v>0</v>
      </c>
      <c r="BO52" s="178">
        <f>SUM(BO53:BO55)</f>
        <v>0</v>
      </c>
      <c r="BP52" s="178">
        <f>SUM(BP53:BP55)</f>
        <v>0</v>
      </c>
    </row>
    <row r="53" spans="1:68" x14ac:dyDescent="0.2">
      <c r="A53" s="14"/>
      <c r="B53" s="11"/>
      <c r="C53" s="11" t="s">
        <v>1252</v>
      </c>
      <c r="D53" s="11"/>
      <c r="E53" s="381">
        <f>SUMIF($G$2:$BP$2,E$2,($G53:$BP53))</f>
        <v>0</v>
      </c>
      <c r="F53" s="381">
        <f>SUMIF($G$2:$BP$2,F$2,($G53:$BP53))</f>
        <v>0</v>
      </c>
      <c r="G53" s="381"/>
      <c r="H53" s="381"/>
      <c r="I53" s="206"/>
      <c r="J53" s="206"/>
      <c r="K53" s="206">
        <v>0</v>
      </c>
      <c r="L53" s="206">
        <v>0</v>
      </c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>
        <v>0</v>
      </c>
      <c r="AB53" s="206">
        <v>0</v>
      </c>
      <c r="AC53" s="206">
        <v>0</v>
      </c>
      <c r="AD53" s="206">
        <v>0</v>
      </c>
      <c r="AE53" s="206"/>
      <c r="AF53" s="206"/>
      <c r="AG53" s="206"/>
      <c r="AH53" s="206"/>
      <c r="AI53" s="206">
        <v>0</v>
      </c>
      <c r="AJ53" s="206">
        <v>0</v>
      </c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>
        <v>0</v>
      </c>
      <c r="BN53" s="206">
        <v>0</v>
      </c>
      <c r="BO53" s="442">
        <v>0</v>
      </c>
      <c r="BP53" s="442">
        <v>0</v>
      </c>
    </row>
    <row r="54" spans="1:68" s="2" customFormat="1" x14ac:dyDescent="0.2">
      <c r="A54" s="14"/>
      <c r="B54" s="11"/>
      <c r="C54" s="11" t="s">
        <v>1253</v>
      </c>
      <c r="D54" s="11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  <c r="BM54" s="360"/>
      <c r="BN54" s="360"/>
      <c r="BO54" s="360"/>
      <c r="BP54" s="360"/>
    </row>
    <row r="55" spans="1:68" x14ac:dyDescent="0.2">
      <c r="A55" s="14"/>
      <c r="B55" s="11"/>
      <c r="C55" s="11" t="s">
        <v>1254</v>
      </c>
      <c r="D55" s="11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  <c r="BM55" s="360"/>
      <c r="BN55" s="360"/>
      <c r="BO55" s="360"/>
      <c r="BP55" s="360"/>
    </row>
    <row r="56" spans="1:68" x14ac:dyDescent="0.2">
      <c r="A56" s="8">
        <v>3</v>
      </c>
      <c r="B56" s="19" t="s">
        <v>10</v>
      </c>
      <c r="C56" s="20"/>
      <c r="D56" s="20"/>
      <c r="E56" s="209">
        <f>SUM(E57)</f>
        <v>0</v>
      </c>
      <c r="F56" s="209">
        <f>SUM(F57)</f>
        <v>0</v>
      </c>
      <c r="G56" s="209">
        <f>SUM(G57)</f>
        <v>0</v>
      </c>
      <c r="H56" s="209">
        <f>SUM(H57)</f>
        <v>0</v>
      </c>
      <c r="I56" s="209">
        <f t="shared" ref="I56:Z56" si="25">SUM(I57)</f>
        <v>0</v>
      </c>
      <c r="J56" s="209">
        <f t="shared" si="25"/>
        <v>0</v>
      </c>
      <c r="K56" s="209">
        <f t="shared" si="25"/>
        <v>0</v>
      </c>
      <c r="L56" s="209">
        <f t="shared" si="25"/>
        <v>0</v>
      </c>
      <c r="M56" s="209">
        <f t="shared" si="25"/>
        <v>0</v>
      </c>
      <c r="N56" s="209">
        <f t="shared" si="25"/>
        <v>0</v>
      </c>
      <c r="O56" s="209">
        <f t="shared" si="25"/>
        <v>0</v>
      </c>
      <c r="P56" s="209">
        <f t="shared" si="25"/>
        <v>0</v>
      </c>
      <c r="Q56" s="209">
        <f t="shared" si="25"/>
        <v>0</v>
      </c>
      <c r="R56" s="209">
        <f t="shared" si="25"/>
        <v>0</v>
      </c>
      <c r="S56" s="209">
        <f t="shared" si="25"/>
        <v>0</v>
      </c>
      <c r="T56" s="209">
        <f t="shared" si="25"/>
        <v>0</v>
      </c>
      <c r="U56" s="209">
        <f t="shared" si="25"/>
        <v>0</v>
      </c>
      <c r="V56" s="209">
        <f t="shared" si="25"/>
        <v>0</v>
      </c>
      <c r="W56" s="209">
        <f t="shared" si="25"/>
        <v>0</v>
      </c>
      <c r="X56" s="209">
        <f t="shared" si="25"/>
        <v>0</v>
      </c>
      <c r="Y56" s="209">
        <f t="shared" si="25"/>
        <v>0</v>
      </c>
      <c r="Z56" s="209">
        <f t="shared" si="25"/>
        <v>0</v>
      </c>
      <c r="AA56" s="209">
        <f t="shared" ref="AA56:BN56" si="26">SUM(AA57)</f>
        <v>0</v>
      </c>
      <c r="AB56" s="209">
        <f t="shared" si="26"/>
        <v>0</v>
      </c>
      <c r="AC56" s="209">
        <f t="shared" si="26"/>
        <v>0</v>
      </c>
      <c r="AD56" s="209">
        <f t="shared" si="26"/>
        <v>0</v>
      </c>
      <c r="AE56" s="209">
        <f t="shared" si="26"/>
        <v>0</v>
      </c>
      <c r="AF56" s="209">
        <f t="shared" si="26"/>
        <v>0</v>
      </c>
      <c r="AG56" s="209">
        <f t="shared" si="26"/>
        <v>0</v>
      </c>
      <c r="AH56" s="209">
        <f t="shared" si="26"/>
        <v>0</v>
      </c>
      <c r="AI56" s="209">
        <f t="shared" si="26"/>
        <v>0</v>
      </c>
      <c r="AJ56" s="209">
        <f t="shared" si="26"/>
        <v>0</v>
      </c>
      <c r="AK56" s="209">
        <f t="shared" si="26"/>
        <v>0</v>
      </c>
      <c r="AL56" s="209">
        <f t="shared" si="26"/>
        <v>0</v>
      </c>
      <c r="AM56" s="209">
        <f t="shared" si="26"/>
        <v>0</v>
      </c>
      <c r="AN56" s="209">
        <f t="shared" si="26"/>
        <v>0</v>
      </c>
      <c r="AO56" s="209">
        <f t="shared" si="26"/>
        <v>0</v>
      </c>
      <c r="AP56" s="209">
        <f t="shared" si="26"/>
        <v>0</v>
      </c>
      <c r="AQ56" s="209">
        <f t="shared" si="26"/>
        <v>0</v>
      </c>
      <c r="AR56" s="209">
        <f t="shared" si="26"/>
        <v>0</v>
      </c>
      <c r="AS56" s="209">
        <f t="shared" si="26"/>
        <v>0</v>
      </c>
      <c r="AT56" s="209">
        <f t="shared" si="26"/>
        <v>0</v>
      </c>
      <c r="AU56" s="209">
        <f t="shared" si="26"/>
        <v>0</v>
      </c>
      <c r="AV56" s="209">
        <f t="shared" si="26"/>
        <v>0</v>
      </c>
      <c r="AW56" s="209">
        <f t="shared" si="26"/>
        <v>0</v>
      </c>
      <c r="AX56" s="209">
        <f t="shared" si="26"/>
        <v>0</v>
      </c>
      <c r="AY56" s="209">
        <f t="shared" si="26"/>
        <v>0</v>
      </c>
      <c r="AZ56" s="209">
        <f t="shared" si="26"/>
        <v>0</v>
      </c>
      <c r="BA56" s="209">
        <f t="shared" si="26"/>
        <v>0</v>
      </c>
      <c r="BB56" s="209">
        <f t="shared" si="26"/>
        <v>0</v>
      </c>
      <c r="BC56" s="209">
        <f t="shared" si="26"/>
        <v>0</v>
      </c>
      <c r="BD56" s="209">
        <f t="shared" si="26"/>
        <v>0</v>
      </c>
      <c r="BE56" s="209">
        <f t="shared" si="26"/>
        <v>0</v>
      </c>
      <c r="BF56" s="209">
        <f t="shared" si="26"/>
        <v>0</v>
      </c>
      <c r="BG56" s="209">
        <f t="shared" si="26"/>
        <v>0</v>
      </c>
      <c r="BH56" s="209">
        <f t="shared" si="26"/>
        <v>0</v>
      </c>
      <c r="BI56" s="209">
        <f t="shared" si="26"/>
        <v>0</v>
      </c>
      <c r="BJ56" s="209">
        <f t="shared" si="26"/>
        <v>0</v>
      </c>
      <c r="BK56" s="209">
        <f t="shared" si="26"/>
        <v>0</v>
      </c>
      <c r="BL56" s="209">
        <f t="shared" si="26"/>
        <v>0</v>
      </c>
      <c r="BM56" s="209">
        <f t="shared" si="26"/>
        <v>0</v>
      </c>
      <c r="BN56" s="209">
        <f t="shared" si="26"/>
        <v>0</v>
      </c>
      <c r="BO56" s="209">
        <f>SUM(BO57)</f>
        <v>0</v>
      </c>
      <c r="BP56" s="209">
        <f>SUM(BP57)</f>
        <v>0</v>
      </c>
    </row>
    <row r="57" spans="1:68" s="2" customFormat="1" x14ac:dyDescent="0.2">
      <c r="A57" s="10"/>
      <c r="B57" s="21"/>
      <c r="C57" s="22" t="s">
        <v>10</v>
      </c>
      <c r="D57" s="22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</row>
    <row r="58" spans="1:68" x14ac:dyDescent="0.2">
      <c r="A58" s="135">
        <v>4</v>
      </c>
      <c r="B58" s="141" t="s">
        <v>67</v>
      </c>
      <c r="C58" s="144"/>
      <c r="D58" s="144"/>
      <c r="E58" s="210">
        <f t="shared" ref="E58:O58" si="27">SUM(E59,E68,E71,E74,E77,E80,E62,E65)</f>
        <v>534650.89</v>
      </c>
      <c r="F58" s="210">
        <f t="shared" si="27"/>
        <v>666040</v>
      </c>
      <c r="G58" s="210">
        <f t="shared" si="27"/>
        <v>21405.260000000002</v>
      </c>
      <c r="H58" s="210">
        <f t="shared" si="27"/>
        <v>41000</v>
      </c>
      <c r="I58" s="210">
        <f t="shared" si="27"/>
        <v>20400</v>
      </c>
      <c r="J58" s="210">
        <f t="shared" si="27"/>
        <v>31000</v>
      </c>
      <c r="K58" s="210">
        <f t="shared" si="27"/>
        <v>42100</v>
      </c>
      <c r="L58" s="210">
        <f t="shared" si="27"/>
        <v>52000</v>
      </c>
      <c r="M58" s="210">
        <f t="shared" si="27"/>
        <v>31310</v>
      </c>
      <c r="N58" s="210">
        <f t="shared" si="27"/>
        <v>45000</v>
      </c>
      <c r="O58" s="210">
        <f t="shared" si="27"/>
        <v>11384</v>
      </c>
      <c r="P58" s="210">
        <f>SUM(P59,P62,P65,P68,P71,P74,P77,P80)</f>
        <v>17000</v>
      </c>
      <c r="Q58" s="210">
        <f>SUM(Q59,Q68,Q71,Q74,Q77,Q80,Q62,Q65)</f>
        <v>38290</v>
      </c>
      <c r="R58" s="210">
        <f>SUM(R59,R62,R65,R68,R71,R74,R77,R80)</f>
        <v>38290</v>
      </c>
      <c r="S58" s="210">
        <f>SUM(S59,S68,S71,S74,S77,S80,S62,S65)</f>
        <v>7626</v>
      </c>
      <c r="T58" s="210">
        <f>SUM(T59,T62,T65,T68,T71,T74,T77,T80)</f>
        <v>10000</v>
      </c>
      <c r="U58" s="210">
        <f>SUM(U59,U68,U71,U74,U77,U80,U62,U65)</f>
        <v>75058.83</v>
      </c>
      <c r="V58" s="210">
        <f>SUM(V59,V62,V65,V68,V71,V74,V77,V80)</f>
        <v>93500</v>
      </c>
      <c r="W58" s="210">
        <f>SUM(W59,W68,W71,W74,W77,W80,W62,W65)</f>
        <v>5740</v>
      </c>
      <c r="X58" s="210">
        <f>SUM(X59,X62,X65,X68,X71,X74,X77,X80)</f>
        <v>7000</v>
      </c>
      <c r="Y58" s="210">
        <f>SUM(Y59,Y68,Y71,Y74,Y77,Y80,Y62,Y65)</f>
        <v>1950</v>
      </c>
      <c r="Z58" s="210">
        <f>SUM(Z59,Z62,Z65,Z68,Z71,Z74,Z77,Z80)</f>
        <v>22000</v>
      </c>
      <c r="AA58" s="210">
        <f>SUM(AA59,AA68,AA71,AA74,AA77,AA80,AA62,AA65)</f>
        <v>0</v>
      </c>
      <c r="AB58" s="210">
        <f>SUM(AB59,AB62,AB65,AB68,AB71,AB74,AB77,AB80)</f>
        <v>11000</v>
      </c>
      <c r="AC58" s="210">
        <f>SUM(AC59,AC68,AC71,AC74,AC77,AC80,AC62,AC65)</f>
        <v>76800</v>
      </c>
      <c r="AD58" s="210">
        <f>SUM(AD59,AD62,AD65,AD68,AD71,AD74,AD77,AD80)</f>
        <v>50000</v>
      </c>
      <c r="AE58" s="210">
        <f>SUM(AE59,AE68,AE71,AE74,AE77,AE80,AE62,AE65)</f>
        <v>24200</v>
      </c>
      <c r="AF58" s="210">
        <f>SUM(AF59,AF62,AF65,AF68,AF71,AF74,AF77,AF80)</f>
        <v>45000</v>
      </c>
      <c r="AG58" s="210">
        <f>SUM(AG59,AG68,AG71,AG74,AG77,AG80,AG62,AG65)</f>
        <v>4226.21</v>
      </c>
      <c r="AH58" s="210">
        <f>SUM(AH59,AH62,AH65,AH68,AH71,AH74,AH77,AH80)</f>
        <v>20000</v>
      </c>
      <c r="AI58" s="210">
        <f>SUM(AI59,AI68,AI71,AI74,AI77,AI80,AI62,AI65)</f>
        <v>104656.59</v>
      </c>
      <c r="AJ58" s="210">
        <f>SUM(AJ59,AJ62,AJ65,AJ68,AJ71,AJ74,AJ77,AJ80)</f>
        <v>110000</v>
      </c>
      <c r="AK58" s="210">
        <f>SUM(AK59,AK68,AK71,AK74,AK77,AK80,AK62,AK65)</f>
        <v>23000</v>
      </c>
      <c r="AL58" s="210">
        <f>SUM(AL59,AL62,AL65,AL68,AL71,AL74,AL77,AL80)</f>
        <v>6650</v>
      </c>
      <c r="AM58" s="210">
        <f>SUM(AM59,AM68,AM71,AM74,AM77,AM80,AM62,AM65)</f>
        <v>18605</v>
      </c>
      <c r="AN58" s="210">
        <f>SUM(AN59,AN62,AN65,AN68,AN71,AN74,AN77,AN80)</f>
        <v>28600</v>
      </c>
      <c r="AO58" s="210">
        <f>SUM(AO59,AO68,AO71,AO74,AO77,AO80,AO62,AO65)</f>
        <v>0</v>
      </c>
      <c r="AP58" s="210">
        <f>SUM(AP59,AP62,AP65,AP68,AP71,AP74,AP77,AP80)</f>
        <v>0</v>
      </c>
      <c r="AQ58" s="210">
        <f>SUM(AQ59,AQ68,AQ71,AQ74,AQ77,AQ80,AQ62,AQ65)</f>
        <v>0</v>
      </c>
      <c r="AR58" s="210">
        <f>SUM(AR59,AR62,AR65,AR68,AR71,AR74,AR77,AR80)</f>
        <v>0</v>
      </c>
      <c r="AS58" s="210">
        <f>SUM(AS59,AS68,AS71,AS74,AS77,AS80,AS62,AS65)</f>
        <v>0</v>
      </c>
      <c r="AT58" s="210">
        <f>SUM(AT59,AT62,AT65,AT68,AT71,AT74,AT77,AT80)</f>
        <v>0</v>
      </c>
      <c r="AU58" s="210">
        <f>SUM(AU59,AU68,AU71,AU74,AU77,AU80,AU62,AU65)</f>
        <v>0</v>
      </c>
      <c r="AV58" s="210">
        <f>SUM(AV59,AV62,AV65,AV68,AV71,AV74,AV77,AV80)</f>
        <v>0</v>
      </c>
      <c r="AW58" s="210">
        <f>SUM(AW59,AW68,AW71,AW74,AW77,AW80,AW62,AW65)</f>
        <v>0</v>
      </c>
      <c r="AX58" s="210">
        <f>SUM(AX59,AX62,AX65,AX68,AX71,AX74,AX77,AX80)</f>
        <v>0</v>
      </c>
      <c r="AY58" s="210">
        <f>SUM(AY59,AY68,AY71,AY74,AY77,AY80,AY62,AY65)</f>
        <v>0</v>
      </c>
      <c r="AZ58" s="210">
        <f>SUM(AZ59,AZ62,AZ65,AZ68,AZ71,AZ74,AZ77,AZ80)</f>
        <v>0</v>
      </c>
      <c r="BA58" s="210">
        <f>SUM(BA59,BA68,BA71,BA74,BA77,BA80,BA62,BA65)</f>
        <v>0</v>
      </c>
      <c r="BB58" s="210">
        <f>SUM(BB59,BB62,BB65,BB68,BB71,BB74,BB77,BB80)</f>
        <v>0</v>
      </c>
      <c r="BC58" s="210">
        <f>SUM(BC59,BC68,BC71,BC74,BC77,BC80,BC62,BC65)</f>
        <v>0</v>
      </c>
      <c r="BD58" s="210">
        <f>SUM(BD59,BD62,BD65,BD68,BD71,BD74,BD77,BD80)</f>
        <v>0</v>
      </c>
      <c r="BE58" s="210">
        <f>SUM(BE59,BE68,BE71,BE74,BE77,BE80,BE62,BE65)</f>
        <v>0</v>
      </c>
      <c r="BF58" s="210">
        <f>SUM(BF59,BF62,BF65,BF68,BF71,BF74,BF77,BF80)</f>
        <v>0</v>
      </c>
      <c r="BG58" s="210">
        <f>SUM(BG59,BG68,BG71,BG74,BG77,BG80,BG62,BG65)</f>
        <v>0</v>
      </c>
      <c r="BH58" s="210">
        <f>SUM(BH59,BH62,BH65,BH68,BH71,BH74,BH77,BH80)</f>
        <v>0</v>
      </c>
      <c r="BI58" s="210">
        <f>SUM(BI59,BI68,BI71,BI74,BI77,BI80,BI62,BI65)</f>
        <v>0</v>
      </c>
      <c r="BJ58" s="210">
        <f>SUM(BJ59,BJ62,BJ65,BJ68,BJ71,BJ74,BJ77,BJ80)</f>
        <v>0</v>
      </c>
      <c r="BK58" s="210">
        <f>SUM(BK59,BK68,BK71,BK74,BK77,BK80,BK62,BK65)</f>
        <v>0</v>
      </c>
      <c r="BL58" s="210">
        <f>SUM(BL59,BL62,BL65,BL68,BL71,BL74,BL77,BL80)</f>
        <v>0</v>
      </c>
      <c r="BM58" s="210">
        <f>SUM(BM59,BM68,BM71,BM74,BM77,BM80,BM62,BM65)</f>
        <v>27899</v>
      </c>
      <c r="BN58" s="210">
        <f>SUM(BN59,BN62,BN65,BN68,BN71,BN74,BN77,BN80)</f>
        <v>38000</v>
      </c>
      <c r="BO58" s="210">
        <f>SUM(BO59,BO68,BO71,BO74,BO77,BO80,BO62,BO65)</f>
        <v>0</v>
      </c>
      <c r="BP58" s="210">
        <f>SUM(BP59,BP62,BP65,BP68,BP71,BP74,BP77,BP80)</f>
        <v>0</v>
      </c>
    </row>
    <row r="59" spans="1:68" s="2" customFormat="1" x14ac:dyDescent="0.2">
      <c r="A59" s="165"/>
      <c r="B59" s="166"/>
      <c r="C59" s="168" t="s">
        <v>152</v>
      </c>
      <c r="D59" s="167"/>
      <c r="E59" s="207">
        <f>SUM(E60:E61)</f>
        <v>0</v>
      </c>
      <c r="F59" s="207">
        <f>SUM(F60:F61)</f>
        <v>0</v>
      </c>
      <c r="G59" s="207">
        <f>SUM(G60:G61)</f>
        <v>0</v>
      </c>
      <c r="H59" s="207">
        <f>SUM(H60:H61)</f>
        <v>0</v>
      </c>
      <c r="I59" s="207">
        <f t="shared" ref="I59:Z59" si="28">SUM(I60:I61)</f>
        <v>0</v>
      </c>
      <c r="J59" s="207">
        <f t="shared" si="28"/>
        <v>0</v>
      </c>
      <c r="K59" s="207">
        <f t="shared" si="28"/>
        <v>0</v>
      </c>
      <c r="L59" s="207">
        <f t="shared" si="28"/>
        <v>0</v>
      </c>
      <c r="M59" s="207">
        <f t="shared" si="28"/>
        <v>0</v>
      </c>
      <c r="N59" s="207">
        <f t="shared" si="28"/>
        <v>0</v>
      </c>
      <c r="O59" s="207">
        <f t="shared" si="28"/>
        <v>0</v>
      </c>
      <c r="P59" s="207">
        <f t="shared" si="28"/>
        <v>0</v>
      </c>
      <c r="Q59" s="207">
        <f t="shared" si="28"/>
        <v>0</v>
      </c>
      <c r="R59" s="207">
        <f t="shared" si="28"/>
        <v>0</v>
      </c>
      <c r="S59" s="207">
        <f t="shared" si="28"/>
        <v>0</v>
      </c>
      <c r="T59" s="207">
        <f t="shared" si="28"/>
        <v>0</v>
      </c>
      <c r="U59" s="207">
        <f t="shared" si="28"/>
        <v>0</v>
      </c>
      <c r="V59" s="207">
        <f t="shared" si="28"/>
        <v>0</v>
      </c>
      <c r="W59" s="207">
        <f t="shared" si="28"/>
        <v>0</v>
      </c>
      <c r="X59" s="207">
        <f t="shared" si="28"/>
        <v>0</v>
      </c>
      <c r="Y59" s="207">
        <f t="shared" si="28"/>
        <v>0</v>
      </c>
      <c r="Z59" s="207">
        <f t="shared" si="28"/>
        <v>0</v>
      </c>
      <c r="AA59" s="207">
        <f t="shared" ref="AA59:BN59" si="29">SUM(AA60:AA61)</f>
        <v>0</v>
      </c>
      <c r="AB59" s="207">
        <f t="shared" si="29"/>
        <v>0</v>
      </c>
      <c r="AC59" s="207">
        <f t="shared" si="29"/>
        <v>0</v>
      </c>
      <c r="AD59" s="207">
        <f t="shared" si="29"/>
        <v>0</v>
      </c>
      <c r="AE59" s="207">
        <f t="shared" si="29"/>
        <v>0</v>
      </c>
      <c r="AF59" s="207">
        <f t="shared" si="29"/>
        <v>0</v>
      </c>
      <c r="AG59" s="207">
        <f t="shared" si="29"/>
        <v>0</v>
      </c>
      <c r="AH59" s="207">
        <f t="shared" si="29"/>
        <v>0</v>
      </c>
      <c r="AI59" s="207">
        <f t="shared" si="29"/>
        <v>0</v>
      </c>
      <c r="AJ59" s="207">
        <f t="shared" si="29"/>
        <v>0</v>
      </c>
      <c r="AK59" s="207">
        <f t="shared" si="29"/>
        <v>0</v>
      </c>
      <c r="AL59" s="207">
        <f t="shared" si="29"/>
        <v>0</v>
      </c>
      <c r="AM59" s="207">
        <f t="shared" si="29"/>
        <v>0</v>
      </c>
      <c r="AN59" s="207">
        <f t="shared" si="29"/>
        <v>0</v>
      </c>
      <c r="AO59" s="207">
        <f t="shared" si="29"/>
        <v>0</v>
      </c>
      <c r="AP59" s="207">
        <f t="shared" si="29"/>
        <v>0</v>
      </c>
      <c r="AQ59" s="207">
        <f t="shared" si="29"/>
        <v>0</v>
      </c>
      <c r="AR59" s="207">
        <f t="shared" si="29"/>
        <v>0</v>
      </c>
      <c r="AS59" s="207">
        <f t="shared" si="29"/>
        <v>0</v>
      </c>
      <c r="AT59" s="207">
        <f t="shared" si="29"/>
        <v>0</v>
      </c>
      <c r="AU59" s="207">
        <f t="shared" si="29"/>
        <v>0</v>
      </c>
      <c r="AV59" s="207">
        <f t="shared" si="29"/>
        <v>0</v>
      </c>
      <c r="AW59" s="207">
        <f t="shared" si="29"/>
        <v>0</v>
      </c>
      <c r="AX59" s="207">
        <f t="shared" si="29"/>
        <v>0</v>
      </c>
      <c r="AY59" s="207">
        <f t="shared" si="29"/>
        <v>0</v>
      </c>
      <c r="AZ59" s="207">
        <f t="shared" si="29"/>
        <v>0</v>
      </c>
      <c r="BA59" s="207">
        <f t="shared" si="29"/>
        <v>0</v>
      </c>
      <c r="BB59" s="207">
        <f t="shared" si="29"/>
        <v>0</v>
      </c>
      <c r="BC59" s="207">
        <f t="shared" si="29"/>
        <v>0</v>
      </c>
      <c r="BD59" s="207">
        <f t="shared" si="29"/>
        <v>0</v>
      </c>
      <c r="BE59" s="207">
        <f t="shared" si="29"/>
        <v>0</v>
      </c>
      <c r="BF59" s="207">
        <f t="shared" si="29"/>
        <v>0</v>
      </c>
      <c r="BG59" s="207">
        <f t="shared" si="29"/>
        <v>0</v>
      </c>
      <c r="BH59" s="207">
        <f t="shared" si="29"/>
        <v>0</v>
      </c>
      <c r="BI59" s="207">
        <f t="shared" si="29"/>
        <v>0</v>
      </c>
      <c r="BJ59" s="207">
        <f t="shared" si="29"/>
        <v>0</v>
      </c>
      <c r="BK59" s="207">
        <f t="shared" si="29"/>
        <v>0</v>
      </c>
      <c r="BL59" s="207">
        <f t="shared" si="29"/>
        <v>0</v>
      </c>
      <c r="BM59" s="207">
        <f t="shared" si="29"/>
        <v>0</v>
      </c>
      <c r="BN59" s="207">
        <f t="shared" si="29"/>
        <v>0</v>
      </c>
      <c r="BO59" s="207">
        <f>SUM(BO60:BO61)</f>
        <v>0</v>
      </c>
      <c r="BP59" s="207">
        <f>SUM(BP60:BP61)</f>
        <v>0</v>
      </c>
    </row>
    <row r="60" spans="1:68" x14ac:dyDescent="0.2">
      <c r="A60" s="10"/>
      <c r="B60" s="21"/>
      <c r="C60" s="22"/>
      <c r="D60" s="11" t="s">
        <v>11</v>
      </c>
      <c r="E60" s="381">
        <f>SUMIF($G$2:$BP$2,E$2,($G60:$BP60))</f>
        <v>0</v>
      </c>
      <c r="F60" s="381">
        <f>SUMIF($G$2:$BP$2,F$2,($G60:$BP60))</f>
        <v>0</v>
      </c>
      <c r="G60" s="224"/>
      <c r="H60" s="224"/>
      <c r="I60" s="208"/>
      <c r="J60" s="208"/>
      <c r="K60" s="208"/>
      <c r="L60" s="208"/>
      <c r="M60" s="224"/>
      <c r="N60" s="224"/>
      <c r="O60" s="208"/>
      <c r="P60" s="208"/>
      <c r="Q60" s="208"/>
      <c r="R60" s="208"/>
      <c r="S60" s="208"/>
      <c r="T60" s="208"/>
      <c r="U60" s="224"/>
      <c r="V60" s="224"/>
      <c r="W60" s="208">
        <v>0</v>
      </c>
      <c r="X60" s="208">
        <v>0</v>
      </c>
      <c r="Y60" s="208"/>
      <c r="Z60" s="208"/>
      <c r="AA60" s="208">
        <v>0</v>
      </c>
      <c r="AB60" s="208">
        <v>0</v>
      </c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  <c r="BI60" s="208"/>
      <c r="BJ60" s="208"/>
      <c r="BK60" s="208"/>
      <c r="BL60" s="208"/>
      <c r="BM60" s="208">
        <v>0</v>
      </c>
      <c r="BN60" s="208">
        <v>0</v>
      </c>
      <c r="BO60" s="442">
        <v>0</v>
      </c>
      <c r="BP60" s="442">
        <v>0</v>
      </c>
    </row>
    <row r="61" spans="1:68" x14ac:dyDescent="0.2">
      <c r="A61" s="10"/>
      <c r="B61" s="21"/>
      <c r="C61" s="22"/>
      <c r="D61" s="11" t="s">
        <v>12</v>
      </c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362"/>
      <c r="BP61" s="362"/>
    </row>
    <row r="62" spans="1:68" s="2" customFormat="1" x14ac:dyDescent="0.2">
      <c r="A62" s="165"/>
      <c r="B62" s="166"/>
      <c r="C62" s="168" t="s">
        <v>153</v>
      </c>
      <c r="D62" s="167"/>
      <c r="E62" s="207">
        <f>SUM(E63:E64)</f>
        <v>0</v>
      </c>
      <c r="F62" s="207">
        <f>SUM(F63:F64)</f>
        <v>0</v>
      </c>
      <c r="G62" s="207">
        <f>SUM(G63:G64)</f>
        <v>0</v>
      </c>
      <c r="H62" s="207">
        <f>SUM(H63:H64)</f>
        <v>0</v>
      </c>
      <c r="I62" s="207">
        <f t="shared" ref="I62:Z62" si="30">SUM(I63:I64)</f>
        <v>0</v>
      </c>
      <c r="J62" s="207">
        <f t="shared" si="30"/>
        <v>0</v>
      </c>
      <c r="K62" s="207">
        <f t="shared" si="30"/>
        <v>0</v>
      </c>
      <c r="L62" s="207">
        <f t="shared" si="30"/>
        <v>0</v>
      </c>
      <c r="M62" s="207">
        <f t="shared" si="30"/>
        <v>0</v>
      </c>
      <c r="N62" s="207">
        <f t="shared" si="30"/>
        <v>0</v>
      </c>
      <c r="O62" s="207">
        <f t="shared" si="30"/>
        <v>0</v>
      </c>
      <c r="P62" s="207">
        <f t="shared" si="30"/>
        <v>0</v>
      </c>
      <c r="Q62" s="207">
        <f t="shared" si="30"/>
        <v>0</v>
      </c>
      <c r="R62" s="207">
        <f t="shared" si="30"/>
        <v>0</v>
      </c>
      <c r="S62" s="207">
        <f t="shared" si="30"/>
        <v>0</v>
      </c>
      <c r="T62" s="207">
        <f t="shared" si="30"/>
        <v>0</v>
      </c>
      <c r="U62" s="207">
        <f t="shared" si="30"/>
        <v>0</v>
      </c>
      <c r="V62" s="207">
        <f t="shared" si="30"/>
        <v>0</v>
      </c>
      <c r="W62" s="207">
        <f t="shared" si="30"/>
        <v>0</v>
      </c>
      <c r="X62" s="207">
        <f t="shared" si="30"/>
        <v>0</v>
      </c>
      <c r="Y62" s="207">
        <f t="shared" si="30"/>
        <v>0</v>
      </c>
      <c r="Z62" s="207">
        <f t="shared" si="30"/>
        <v>0</v>
      </c>
      <c r="AA62" s="207">
        <f t="shared" ref="AA62:BN62" si="31">SUM(AA63:AA64)</f>
        <v>0</v>
      </c>
      <c r="AB62" s="207">
        <f t="shared" si="31"/>
        <v>0</v>
      </c>
      <c r="AC62" s="207">
        <f t="shared" si="31"/>
        <v>0</v>
      </c>
      <c r="AD62" s="207">
        <f t="shared" si="31"/>
        <v>0</v>
      </c>
      <c r="AE62" s="207">
        <f t="shared" si="31"/>
        <v>0</v>
      </c>
      <c r="AF62" s="207">
        <f t="shared" si="31"/>
        <v>0</v>
      </c>
      <c r="AG62" s="207">
        <f t="shared" si="31"/>
        <v>0</v>
      </c>
      <c r="AH62" s="207">
        <f t="shared" si="31"/>
        <v>0</v>
      </c>
      <c r="AI62" s="207">
        <f t="shared" si="31"/>
        <v>0</v>
      </c>
      <c r="AJ62" s="207">
        <f t="shared" si="31"/>
        <v>0</v>
      </c>
      <c r="AK62" s="207">
        <f t="shared" si="31"/>
        <v>0</v>
      </c>
      <c r="AL62" s="207">
        <f t="shared" si="31"/>
        <v>0</v>
      </c>
      <c r="AM62" s="207">
        <f t="shared" si="31"/>
        <v>0</v>
      </c>
      <c r="AN62" s="207">
        <f t="shared" si="31"/>
        <v>0</v>
      </c>
      <c r="AO62" s="207">
        <f t="shared" si="31"/>
        <v>0</v>
      </c>
      <c r="AP62" s="207">
        <f t="shared" si="31"/>
        <v>0</v>
      </c>
      <c r="AQ62" s="207">
        <f t="shared" si="31"/>
        <v>0</v>
      </c>
      <c r="AR62" s="207">
        <f t="shared" si="31"/>
        <v>0</v>
      </c>
      <c r="AS62" s="207">
        <f t="shared" si="31"/>
        <v>0</v>
      </c>
      <c r="AT62" s="207">
        <f t="shared" si="31"/>
        <v>0</v>
      </c>
      <c r="AU62" s="207">
        <f t="shared" si="31"/>
        <v>0</v>
      </c>
      <c r="AV62" s="207">
        <f t="shared" si="31"/>
        <v>0</v>
      </c>
      <c r="AW62" s="207">
        <f t="shared" si="31"/>
        <v>0</v>
      </c>
      <c r="AX62" s="207">
        <f t="shared" si="31"/>
        <v>0</v>
      </c>
      <c r="AY62" s="207">
        <f t="shared" si="31"/>
        <v>0</v>
      </c>
      <c r="AZ62" s="207">
        <f t="shared" si="31"/>
        <v>0</v>
      </c>
      <c r="BA62" s="207">
        <f t="shared" si="31"/>
        <v>0</v>
      </c>
      <c r="BB62" s="207">
        <f t="shared" si="31"/>
        <v>0</v>
      </c>
      <c r="BC62" s="207">
        <f t="shared" si="31"/>
        <v>0</v>
      </c>
      <c r="BD62" s="207">
        <f t="shared" si="31"/>
        <v>0</v>
      </c>
      <c r="BE62" s="207">
        <f t="shared" si="31"/>
        <v>0</v>
      </c>
      <c r="BF62" s="207">
        <f t="shared" si="31"/>
        <v>0</v>
      </c>
      <c r="BG62" s="207">
        <f t="shared" si="31"/>
        <v>0</v>
      </c>
      <c r="BH62" s="207">
        <f t="shared" si="31"/>
        <v>0</v>
      </c>
      <c r="BI62" s="207">
        <f t="shared" si="31"/>
        <v>0</v>
      </c>
      <c r="BJ62" s="207">
        <f t="shared" si="31"/>
        <v>0</v>
      </c>
      <c r="BK62" s="207">
        <f t="shared" si="31"/>
        <v>0</v>
      </c>
      <c r="BL62" s="207">
        <f t="shared" si="31"/>
        <v>0</v>
      </c>
      <c r="BM62" s="207">
        <f t="shared" si="31"/>
        <v>0</v>
      </c>
      <c r="BN62" s="207">
        <f t="shared" si="31"/>
        <v>0</v>
      </c>
      <c r="BO62" s="207">
        <f>SUM(BO63:BO64)</f>
        <v>0</v>
      </c>
      <c r="BP62" s="207">
        <f>SUM(BP63:BP64)</f>
        <v>0</v>
      </c>
    </row>
    <row r="63" spans="1:68" x14ac:dyDescent="0.2">
      <c r="A63" s="10"/>
      <c r="B63" s="21"/>
      <c r="C63" s="22"/>
      <c r="D63" s="11" t="s">
        <v>11</v>
      </c>
      <c r="E63" s="381">
        <f>SUMIF($G$2:$BP$2,E$2,($G63:$BP63))</f>
        <v>0</v>
      </c>
      <c r="F63" s="381">
        <f>SUMIF($G$2:$BP$2,F$2,($G63:$BP63))</f>
        <v>0</v>
      </c>
      <c r="G63" s="224"/>
      <c r="H63" s="224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24">
        <v>0</v>
      </c>
      <c r="X63" s="224">
        <v>0</v>
      </c>
      <c r="Y63" s="224">
        <v>0</v>
      </c>
      <c r="Z63" s="224">
        <v>0</v>
      </c>
      <c r="AA63" s="208">
        <v>0</v>
      </c>
      <c r="AB63" s="208">
        <v>0</v>
      </c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>
        <v>0</v>
      </c>
      <c r="BN63" s="208">
        <v>0</v>
      </c>
      <c r="BO63" s="442">
        <v>0</v>
      </c>
      <c r="BP63" s="442">
        <v>0</v>
      </c>
    </row>
    <row r="64" spans="1:68" x14ac:dyDescent="0.2">
      <c r="A64" s="10"/>
      <c r="B64" s="21"/>
      <c r="C64" s="22"/>
      <c r="D64" s="11" t="s">
        <v>12</v>
      </c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362"/>
    </row>
    <row r="65" spans="1:68" x14ac:dyDescent="0.2">
      <c r="A65" s="10"/>
      <c r="B65" s="21"/>
      <c r="C65" s="168" t="s">
        <v>680</v>
      </c>
      <c r="D65" s="167"/>
      <c r="E65" s="207">
        <f>SUM(E66:E67)</f>
        <v>145794.64000000001</v>
      </c>
      <c r="F65" s="207">
        <f>SUM(F66:F67)</f>
        <v>197150</v>
      </c>
      <c r="G65" s="207">
        <f>SUM(G66:G67)</f>
        <v>5360.26</v>
      </c>
      <c r="H65" s="207">
        <f>SUM(H66:H67)</f>
        <v>12000</v>
      </c>
      <c r="I65" s="207">
        <f t="shared" ref="I65:Z65" si="32">SUM(I66:I67)</f>
        <v>0</v>
      </c>
      <c r="J65" s="207">
        <f t="shared" si="32"/>
        <v>10000</v>
      </c>
      <c r="K65" s="207">
        <f t="shared" si="32"/>
        <v>15600</v>
      </c>
      <c r="L65" s="207">
        <f t="shared" si="32"/>
        <v>20000</v>
      </c>
      <c r="M65" s="207">
        <f t="shared" si="32"/>
        <v>1000</v>
      </c>
      <c r="N65" s="207">
        <f t="shared" si="32"/>
        <v>5000</v>
      </c>
      <c r="O65" s="207">
        <f t="shared" si="32"/>
        <v>0</v>
      </c>
      <c r="P65" s="207">
        <f t="shared" si="32"/>
        <v>5000</v>
      </c>
      <c r="Q65" s="207">
        <f t="shared" si="32"/>
        <v>0</v>
      </c>
      <c r="R65" s="207">
        <f t="shared" si="32"/>
        <v>0</v>
      </c>
      <c r="S65" s="207">
        <f t="shared" si="32"/>
        <v>0</v>
      </c>
      <c r="T65" s="207">
        <f t="shared" si="32"/>
        <v>0</v>
      </c>
      <c r="U65" s="207">
        <f t="shared" si="32"/>
        <v>5011.58</v>
      </c>
      <c r="V65" s="207">
        <f t="shared" si="32"/>
        <v>15000</v>
      </c>
      <c r="W65" s="207">
        <f t="shared" si="32"/>
        <v>0</v>
      </c>
      <c r="X65" s="207">
        <f t="shared" si="32"/>
        <v>0</v>
      </c>
      <c r="Y65" s="207">
        <f t="shared" si="32"/>
        <v>0</v>
      </c>
      <c r="Z65" s="207">
        <f t="shared" si="32"/>
        <v>12000</v>
      </c>
      <c r="AA65" s="207">
        <f t="shared" ref="AA65:BN65" si="33">SUM(AA66:AA67)</f>
        <v>0</v>
      </c>
      <c r="AB65" s="207">
        <f t="shared" si="33"/>
        <v>5000</v>
      </c>
      <c r="AC65" s="207">
        <f t="shared" si="33"/>
        <v>24000</v>
      </c>
      <c r="AD65" s="207">
        <f t="shared" si="33"/>
        <v>10000</v>
      </c>
      <c r="AE65" s="207">
        <f t="shared" si="33"/>
        <v>100</v>
      </c>
      <c r="AF65" s="207">
        <f t="shared" si="33"/>
        <v>5000</v>
      </c>
      <c r="AG65" s="207">
        <f t="shared" si="33"/>
        <v>4226.21</v>
      </c>
      <c r="AH65" s="207">
        <f t="shared" si="33"/>
        <v>10000</v>
      </c>
      <c r="AI65" s="207">
        <f t="shared" si="33"/>
        <v>78751.59</v>
      </c>
      <c r="AJ65" s="207">
        <f t="shared" si="33"/>
        <v>80000</v>
      </c>
      <c r="AK65" s="207">
        <f t="shared" si="33"/>
        <v>5000</v>
      </c>
      <c r="AL65" s="207">
        <f t="shared" si="33"/>
        <v>150</v>
      </c>
      <c r="AM65" s="207">
        <f t="shared" si="33"/>
        <v>0</v>
      </c>
      <c r="AN65" s="207">
        <f t="shared" si="33"/>
        <v>0</v>
      </c>
      <c r="AO65" s="207">
        <f t="shared" si="33"/>
        <v>0</v>
      </c>
      <c r="AP65" s="207">
        <f t="shared" si="33"/>
        <v>0</v>
      </c>
      <c r="AQ65" s="207">
        <f t="shared" si="33"/>
        <v>0</v>
      </c>
      <c r="AR65" s="207">
        <f t="shared" si="33"/>
        <v>0</v>
      </c>
      <c r="AS65" s="207">
        <f t="shared" si="33"/>
        <v>0</v>
      </c>
      <c r="AT65" s="207">
        <f t="shared" si="33"/>
        <v>0</v>
      </c>
      <c r="AU65" s="207">
        <f t="shared" si="33"/>
        <v>0</v>
      </c>
      <c r="AV65" s="207">
        <f t="shared" si="33"/>
        <v>0</v>
      </c>
      <c r="AW65" s="207">
        <f t="shared" si="33"/>
        <v>0</v>
      </c>
      <c r="AX65" s="207">
        <f t="shared" si="33"/>
        <v>0</v>
      </c>
      <c r="AY65" s="207">
        <f t="shared" si="33"/>
        <v>0</v>
      </c>
      <c r="AZ65" s="207">
        <f t="shared" si="33"/>
        <v>0</v>
      </c>
      <c r="BA65" s="207">
        <f t="shared" si="33"/>
        <v>0</v>
      </c>
      <c r="BB65" s="207">
        <f t="shared" si="33"/>
        <v>0</v>
      </c>
      <c r="BC65" s="207">
        <f t="shared" si="33"/>
        <v>0</v>
      </c>
      <c r="BD65" s="207">
        <f t="shared" si="33"/>
        <v>0</v>
      </c>
      <c r="BE65" s="207">
        <f t="shared" si="33"/>
        <v>0</v>
      </c>
      <c r="BF65" s="207">
        <f t="shared" si="33"/>
        <v>0</v>
      </c>
      <c r="BG65" s="207">
        <f t="shared" si="33"/>
        <v>0</v>
      </c>
      <c r="BH65" s="207">
        <f t="shared" si="33"/>
        <v>0</v>
      </c>
      <c r="BI65" s="207">
        <f t="shared" si="33"/>
        <v>0</v>
      </c>
      <c r="BJ65" s="207">
        <f t="shared" si="33"/>
        <v>0</v>
      </c>
      <c r="BK65" s="207">
        <f t="shared" si="33"/>
        <v>0</v>
      </c>
      <c r="BL65" s="207">
        <f t="shared" si="33"/>
        <v>0</v>
      </c>
      <c r="BM65" s="207">
        <f t="shared" si="33"/>
        <v>6745</v>
      </c>
      <c r="BN65" s="207">
        <f t="shared" si="33"/>
        <v>8000</v>
      </c>
      <c r="BO65" s="207">
        <f>SUM(BO66:BO67)</f>
        <v>0</v>
      </c>
      <c r="BP65" s="207">
        <f>SUM(BP66:BP67)</f>
        <v>0</v>
      </c>
    </row>
    <row r="66" spans="1:68" s="2" customFormat="1" x14ac:dyDescent="0.2">
      <c r="A66" s="10"/>
      <c r="B66" s="21"/>
      <c r="C66" s="22"/>
      <c r="D66" s="387" t="s">
        <v>11</v>
      </c>
      <c r="E66" s="381">
        <f>SUMIF($G$2:$BP$2,E$2,($G66:$BP66))</f>
        <v>145794.64000000001</v>
      </c>
      <c r="F66" s="381">
        <f>SUMIF($G$2:$BP$2,F$2,($G66:$BP66))</f>
        <v>197150</v>
      </c>
      <c r="G66" s="444">
        <v>5360.26</v>
      </c>
      <c r="H66" s="444">
        <v>12000</v>
      </c>
      <c r="I66" s="444">
        <v>0</v>
      </c>
      <c r="J66" s="444">
        <v>10000</v>
      </c>
      <c r="K66" s="444">
        <v>15600</v>
      </c>
      <c r="L66" s="444">
        <v>20000</v>
      </c>
      <c r="M66" s="444">
        <v>1000</v>
      </c>
      <c r="N66" s="444">
        <v>5000</v>
      </c>
      <c r="O66" s="444">
        <v>0</v>
      </c>
      <c r="P66" s="444">
        <v>5000</v>
      </c>
      <c r="Q66" s="224"/>
      <c r="R66" s="224"/>
      <c r="S66" s="224"/>
      <c r="T66" s="224"/>
      <c r="U66" s="444">
        <v>5011.58</v>
      </c>
      <c r="V66" s="444">
        <v>15000</v>
      </c>
      <c r="W66" s="224"/>
      <c r="X66" s="224"/>
      <c r="Y66" s="444">
        <v>0</v>
      </c>
      <c r="Z66" s="444">
        <v>12000</v>
      </c>
      <c r="AA66" s="224"/>
      <c r="AB66" s="224">
        <v>5000</v>
      </c>
      <c r="AC66" s="459">
        <v>24000</v>
      </c>
      <c r="AD66" s="459">
        <v>10000</v>
      </c>
      <c r="AE66" s="440">
        <v>100</v>
      </c>
      <c r="AF66" s="440">
        <v>5000</v>
      </c>
      <c r="AG66" s="440">
        <v>4226.21</v>
      </c>
      <c r="AH66" s="440">
        <v>10000</v>
      </c>
      <c r="AI66" s="444">
        <v>78751.59</v>
      </c>
      <c r="AJ66" s="444">
        <v>80000</v>
      </c>
      <c r="AK66" s="440">
        <v>5000</v>
      </c>
      <c r="AL66" s="440">
        <v>150</v>
      </c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444">
        <v>6745</v>
      </c>
      <c r="BN66" s="444">
        <v>8000</v>
      </c>
      <c r="BO66" s="442">
        <v>0</v>
      </c>
      <c r="BP66" s="442">
        <v>0</v>
      </c>
    </row>
    <row r="67" spans="1:68" x14ac:dyDescent="0.2">
      <c r="A67" s="10"/>
      <c r="B67" s="21"/>
      <c r="C67" s="22"/>
      <c r="D67" s="11" t="s">
        <v>12</v>
      </c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  <c r="BO67" s="362"/>
      <c r="BP67" s="362"/>
    </row>
    <row r="68" spans="1:68" x14ac:dyDescent="0.2">
      <c r="A68" s="165"/>
      <c r="B68" s="166"/>
      <c r="C68" s="168" t="s">
        <v>58</v>
      </c>
      <c r="D68" s="167"/>
      <c r="E68" s="207">
        <f>SUM(E69:E70)</f>
        <v>330542.25</v>
      </c>
      <c r="F68" s="207">
        <f>SUM(F69:F70)</f>
        <v>403390</v>
      </c>
      <c r="G68" s="207">
        <f>SUM(G69:G70)</f>
        <v>2665</v>
      </c>
      <c r="H68" s="207">
        <f>SUM(H69:H70)</f>
        <v>15000</v>
      </c>
      <c r="I68" s="207">
        <f t="shared" ref="I68:Z68" si="34">SUM(I69:I70)</f>
        <v>20000</v>
      </c>
      <c r="J68" s="207">
        <f t="shared" si="34"/>
        <v>20000</v>
      </c>
      <c r="K68" s="207">
        <f t="shared" si="34"/>
        <v>26500</v>
      </c>
      <c r="L68" s="207">
        <f t="shared" si="34"/>
        <v>30000</v>
      </c>
      <c r="M68" s="207">
        <f t="shared" si="34"/>
        <v>10600</v>
      </c>
      <c r="N68" s="207">
        <f t="shared" si="34"/>
        <v>20000</v>
      </c>
      <c r="O68" s="207">
        <f t="shared" si="34"/>
        <v>7484</v>
      </c>
      <c r="P68" s="207">
        <f t="shared" si="34"/>
        <v>8000</v>
      </c>
      <c r="Q68" s="207">
        <f t="shared" si="34"/>
        <v>38290</v>
      </c>
      <c r="R68" s="207">
        <f t="shared" si="34"/>
        <v>38290</v>
      </c>
      <c r="S68" s="207">
        <f t="shared" si="34"/>
        <v>7626</v>
      </c>
      <c r="T68" s="207">
        <f t="shared" si="34"/>
        <v>10000</v>
      </c>
      <c r="U68" s="207">
        <f t="shared" si="34"/>
        <v>66537.25</v>
      </c>
      <c r="V68" s="207">
        <f t="shared" si="34"/>
        <v>75000</v>
      </c>
      <c r="W68" s="207">
        <f t="shared" si="34"/>
        <v>3980</v>
      </c>
      <c r="X68" s="207">
        <f t="shared" si="34"/>
        <v>5000</v>
      </c>
      <c r="Y68" s="207">
        <f t="shared" si="34"/>
        <v>1950</v>
      </c>
      <c r="Z68" s="207">
        <f t="shared" si="34"/>
        <v>10000</v>
      </c>
      <c r="AA68" s="207">
        <f t="shared" ref="AA68:BN68" si="35">SUM(AA69:AA70)</f>
        <v>0</v>
      </c>
      <c r="AB68" s="207">
        <f t="shared" si="35"/>
        <v>5000</v>
      </c>
      <c r="AC68" s="207">
        <f t="shared" si="35"/>
        <v>50000</v>
      </c>
      <c r="AD68" s="207">
        <f t="shared" si="35"/>
        <v>35000</v>
      </c>
      <c r="AE68" s="207">
        <f t="shared" si="35"/>
        <v>24100</v>
      </c>
      <c r="AF68" s="207">
        <f t="shared" si="35"/>
        <v>40000</v>
      </c>
      <c r="AG68" s="207">
        <f t="shared" si="35"/>
        <v>0</v>
      </c>
      <c r="AH68" s="207">
        <f t="shared" si="35"/>
        <v>10000</v>
      </c>
      <c r="AI68" s="207">
        <f t="shared" si="35"/>
        <v>25905</v>
      </c>
      <c r="AJ68" s="207">
        <f t="shared" si="35"/>
        <v>30000</v>
      </c>
      <c r="AK68" s="207">
        <f t="shared" si="35"/>
        <v>15000</v>
      </c>
      <c r="AL68" s="207">
        <f t="shared" si="35"/>
        <v>3500</v>
      </c>
      <c r="AM68" s="207">
        <f t="shared" si="35"/>
        <v>18605</v>
      </c>
      <c r="AN68" s="207">
        <f t="shared" si="35"/>
        <v>28600</v>
      </c>
      <c r="AO68" s="207">
        <f t="shared" si="35"/>
        <v>0</v>
      </c>
      <c r="AP68" s="207">
        <f t="shared" si="35"/>
        <v>0</v>
      </c>
      <c r="AQ68" s="207">
        <f t="shared" si="35"/>
        <v>0</v>
      </c>
      <c r="AR68" s="207">
        <f t="shared" si="35"/>
        <v>0</v>
      </c>
      <c r="AS68" s="207">
        <f t="shared" si="35"/>
        <v>0</v>
      </c>
      <c r="AT68" s="207">
        <f t="shared" si="35"/>
        <v>0</v>
      </c>
      <c r="AU68" s="207">
        <f t="shared" si="35"/>
        <v>0</v>
      </c>
      <c r="AV68" s="207">
        <f t="shared" si="35"/>
        <v>0</v>
      </c>
      <c r="AW68" s="207">
        <f t="shared" si="35"/>
        <v>0</v>
      </c>
      <c r="AX68" s="207">
        <f t="shared" si="35"/>
        <v>0</v>
      </c>
      <c r="AY68" s="207">
        <f t="shared" si="35"/>
        <v>0</v>
      </c>
      <c r="AZ68" s="207">
        <f t="shared" si="35"/>
        <v>0</v>
      </c>
      <c r="BA68" s="207">
        <f t="shared" si="35"/>
        <v>0</v>
      </c>
      <c r="BB68" s="207">
        <f t="shared" si="35"/>
        <v>0</v>
      </c>
      <c r="BC68" s="207">
        <f t="shared" si="35"/>
        <v>0</v>
      </c>
      <c r="BD68" s="207">
        <f t="shared" si="35"/>
        <v>0</v>
      </c>
      <c r="BE68" s="207">
        <f t="shared" si="35"/>
        <v>0</v>
      </c>
      <c r="BF68" s="207">
        <f t="shared" si="35"/>
        <v>0</v>
      </c>
      <c r="BG68" s="207">
        <f t="shared" si="35"/>
        <v>0</v>
      </c>
      <c r="BH68" s="207">
        <f t="shared" si="35"/>
        <v>0</v>
      </c>
      <c r="BI68" s="207">
        <f t="shared" si="35"/>
        <v>0</v>
      </c>
      <c r="BJ68" s="207">
        <f t="shared" si="35"/>
        <v>0</v>
      </c>
      <c r="BK68" s="207">
        <f t="shared" si="35"/>
        <v>0</v>
      </c>
      <c r="BL68" s="207">
        <f t="shared" si="35"/>
        <v>0</v>
      </c>
      <c r="BM68" s="207">
        <f t="shared" si="35"/>
        <v>11300</v>
      </c>
      <c r="BN68" s="207">
        <f t="shared" si="35"/>
        <v>20000</v>
      </c>
      <c r="BO68" s="207">
        <f>SUM(BO69:BO70)</f>
        <v>0</v>
      </c>
      <c r="BP68" s="207">
        <f>SUM(BP69:BP70)</f>
        <v>0</v>
      </c>
    </row>
    <row r="69" spans="1:68" x14ac:dyDescent="0.2">
      <c r="A69" s="10"/>
      <c r="B69" s="21"/>
      <c r="C69" s="22"/>
      <c r="D69" s="387" t="s">
        <v>11</v>
      </c>
      <c r="E69" s="381">
        <f>SUMIF($G$2:$BP$2,E$2,($G69:$BP69))</f>
        <v>330542.25</v>
      </c>
      <c r="F69" s="381">
        <f>SUMIF($G$2:$BP$2,F$2,($G69:$BP69))</f>
        <v>403390</v>
      </c>
      <c r="G69" s="224">
        <v>2665</v>
      </c>
      <c r="H69" s="388">
        <v>15000</v>
      </c>
      <c r="I69" s="444">
        <v>20000</v>
      </c>
      <c r="J69" s="445">
        <v>20000</v>
      </c>
      <c r="K69" s="444">
        <v>26500</v>
      </c>
      <c r="L69" s="445">
        <v>30000</v>
      </c>
      <c r="M69" s="444">
        <v>10600</v>
      </c>
      <c r="N69" s="445">
        <v>20000</v>
      </c>
      <c r="O69" s="444">
        <v>7484</v>
      </c>
      <c r="P69" s="445">
        <v>8000</v>
      </c>
      <c r="Q69" s="440">
        <f>13290+25000</f>
        <v>38290</v>
      </c>
      <c r="R69" s="441">
        <v>38290</v>
      </c>
      <c r="S69" s="444">
        <v>7626</v>
      </c>
      <c r="T69" s="445">
        <v>10000</v>
      </c>
      <c r="U69" s="444">
        <v>66537.25</v>
      </c>
      <c r="V69" s="445">
        <v>75000</v>
      </c>
      <c r="W69" s="444">
        <v>3980</v>
      </c>
      <c r="X69" s="445">
        <v>5000</v>
      </c>
      <c r="Y69" s="444">
        <v>1950</v>
      </c>
      <c r="Z69" s="445">
        <v>10000</v>
      </c>
      <c r="AA69" s="388"/>
      <c r="AB69" s="388">
        <v>5000</v>
      </c>
      <c r="AC69" s="459">
        <v>50000</v>
      </c>
      <c r="AD69" s="465">
        <v>35000</v>
      </c>
      <c r="AE69" s="440">
        <v>24100</v>
      </c>
      <c r="AF69" s="440">
        <v>40000</v>
      </c>
      <c r="AG69" s="224"/>
      <c r="AH69" s="388">
        <v>10000</v>
      </c>
      <c r="AI69" s="444">
        <v>25905</v>
      </c>
      <c r="AJ69" s="445">
        <v>30000</v>
      </c>
      <c r="AK69" s="440">
        <v>15000</v>
      </c>
      <c r="AL69" s="440">
        <v>3500</v>
      </c>
      <c r="AM69" s="444">
        <v>18605</v>
      </c>
      <c r="AN69" s="445">
        <v>28600</v>
      </c>
      <c r="AO69" s="224"/>
      <c r="AP69" s="388"/>
      <c r="AQ69" s="224"/>
      <c r="AR69" s="388"/>
      <c r="AS69" s="224"/>
      <c r="AT69" s="388"/>
      <c r="AU69" s="224"/>
      <c r="AV69" s="388"/>
      <c r="AW69" s="224"/>
      <c r="AX69" s="388"/>
      <c r="AY69" s="224"/>
      <c r="AZ69" s="388"/>
      <c r="BA69" s="224"/>
      <c r="BB69" s="388"/>
      <c r="BC69" s="224"/>
      <c r="BD69" s="388"/>
      <c r="BE69" s="224"/>
      <c r="BF69" s="388"/>
      <c r="BG69" s="224"/>
      <c r="BH69" s="388"/>
      <c r="BI69" s="224"/>
      <c r="BJ69" s="388"/>
      <c r="BK69" s="224"/>
      <c r="BL69" s="388"/>
      <c r="BM69" s="444">
        <v>11300</v>
      </c>
      <c r="BN69" s="444">
        <v>20000</v>
      </c>
      <c r="BO69" s="442">
        <v>0</v>
      </c>
      <c r="BP69" s="442">
        <v>0</v>
      </c>
    </row>
    <row r="70" spans="1:68" s="2" customFormat="1" x14ac:dyDescent="0.2">
      <c r="A70" s="10"/>
      <c r="B70" s="21"/>
      <c r="C70" s="22"/>
      <c r="D70" s="11" t="s">
        <v>12</v>
      </c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362"/>
      <c r="BP70" s="362"/>
    </row>
    <row r="71" spans="1:68" s="2" customFormat="1" x14ac:dyDescent="0.2">
      <c r="A71" s="165"/>
      <c r="B71" s="166"/>
      <c r="C71" s="168" t="s">
        <v>59</v>
      </c>
      <c r="D71" s="167"/>
      <c r="E71" s="207">
        <f>SUM(E72:E73)</f>
        <v>0</v>
      </c>
      <c r="F71" s="207">
        <f>SUM(F72:F73)</f>
        <v>0</v>
      </c>
      <c r="G71" s="207">
        <f>SUM(G72:G73)</f>
        <v>0</v>
      </c>
      <c r="H71" s="207">
        <f>SUM(H72:H73)</f>
        <v>0</v>
      </c>
      <c r="I71" s="207">
        <f t="shared" ref="I71:Z71" si="36">SUM(I72:I73)</f>
        <v>0</v>
      </c>
      <c r="J71" s="207">
        <f t="shared" si="36"/>
        <v>0</v>
      </c>
      <c r="K71" s="207">
        <f t="shared" si="36"/>
        <v>0</v>
      </c>
      <c r="L71" s="207">
        <f t="shared" si="36"/>
        <v>0</v>
      </c>
      <c r="M71" s="207">
        <f t="shared" si="36"/>
        <v>0</v>
      </c>
      <c r="N71" s="207">
        <f t="shared" si="36"/>
        <v>0</v>
      </c>
      <c r="O71" s="207">
        <f t="shared" si="36"/>
        <v>0</v>
      </c>
      <c r="P71" s="207">
        <f t="shared" si="36"/>
        <v>0</v>
      </c>
      <c r="Q71" s="207">
        <f t="shared" si="36"/>
        <v>0</v>
      </c>
      <c r="R71" s="207">
        <f t="shared" si="36"/>
        <v>0</v>
      </c>
      <c r="S71" s="207">
        <f t="shared" si="36"/>
        <v>0</v>
      </c>
      <c r="T71" s="207">
        <f t="shared" si="36"/>
        <v>0</v>
      </c>
      <c r="U71" s="207">
        <f t="shared" si="36"/>
        <v>0</v>
      </c>
      <c r="V71" s="207">
        <f t="shared" si="36"/>
        <v>0</v>
      </c>
      <c r="W71" s="207">
        <f t="shared" si="36"/>
        <v>0</v>
      </c>
      <c r="X71" s="207">
        <f t="shared" si="36"/>
        <v>0</v>
      </c>
      <c r="Y71" s="207">
        <f t="shared" si="36"/>
        <v>0</v>
      </c>
      <c r="Z71" s="207">
        <f t="shared" si="36"/>
        <v>0</v>
      </c>
      <c r="AA71" s="207">
        <f t="shared" ref="AA71:BN71" si="37">SUM(AA72:AA73)</f>
        <v>0</v>
      </c>
      <c r="AB71" s="207">
        <f t="shared" si="37"/>
        <v>0</v>
      </c>
      <c r="AC71" s="207">
        <f t="shared" si="37"/>
        <v>0</v>
      </c>
      <c r="AD71" s="207">
        <f t="shared" si="37"/>
        <v>0</v>
      </c>
      <c r="AE71" s="207">
        <f t="shared" si="37"/>
        <v>0</v>
      </c>
      <c r="AF71" s="207">
        <f t="shared" si="37"/>
        <v>0</v>
      </c>
      <c r="AG71" s="207">
        <f t="shared" si="37"/>
        <v>0</v>
      </c>
      <c r="AH71" s="207">
        <f t="shared" si="37"/>
        <v>0</v>
      </c>
      <c r="AI71" s="207">
        <f t="shared" si="37"/>
        <v>0</v>
      </c>
      <c r="AJ71" s="207">
        <f t="shared" si="37"/>
        <v>0</v>
      </c>
      <c r="AK71" s="207">
        <f t="shared" si="37"/>
        <v>0</v>
      </c>
      <c r="AL71" s="207">
        <f t="shared" si="37"/>
        <v>0</v>
      </c>
      <c r="AM71" s="207">
        <f t="shared" si="37"/>
        <v>0</v>
      </c>
      <c r="AN71" s="207">
        <f t="shared" si="37"/>
        <v>0</v>
      </c>
      <c r="AO71" s="207">
        <f t="shared" si="37"/>
        <v>0</v>
      </c>
      <c r="AP71" s="207">
        <f t="shared" si="37"/>
        <v>0</v>
      </c>
      <c r="AQ71" s="207">
        <f t="shared" si="37"/>
        <v>0</v>
      </c>
      <c r="AR71" s="207">
        <f t="shared" si="37"/>
        <v>0</v>
      </c>
      <c r="AS71" s="207">
        <f t="shared" si="37"/>
        <v>0</v>
      </c>
      <c r="AT71" s="207">
        <f t="shared" si="37"/>
        <v>0</v>
      </c>
      <c r="AU71" s="207">
        <f t="shared" si="37"/>
        <v>0</v>
      </c>
      <c r="AV71" s="207">
        <f t="shared" si="37"/>
        <v>0</v>
      </c>
      <c r="AW71" s="207">
        <f t="shared" si="37"/>
        <v>0</v>
      </c>
      <c r="AX71" s="207">
        <f t="shared" si="37"/>
        <v>0</v>
      </c>
      <c r="AY71" s="207">
        <f t="shared" si="37"/>
        <v>0</v>
      </c>
      <c r="AZ71" s="207">
        <f t="shared" si="37"/>
        <v>0</v>
      </c>
      <c r="BA71" s="207">
        <f t="shared" si="37"/>
        <v>0</v>
      </c>
      <c r="BB71" s="207">
        <f t="shared" si="37"/>
        <v>0</v>
      </c>
      <c r="BC71" s="207">
        <f t="shared" si="37"/>
        <v>0</v>
      </c>
      <c r="BD71" s="207">
        <f t="shared" si="37"/>
        <v>0</v>
      </c>
      <c r="BE71" s="207">
        <f t="shared" si="37"/>
        <v>0</v>
      </c>
      <c r="BF71" s="207">
        <f t="shared" si="37"/>
        <v>0</v>
      </c>
      <c r="BG71" s="207">
        <f t="shared" si="37"/>
        <v>0</v>
      </c>
      <c r="BH71" s="207">
        <f t="shared" si="37"/>
        <v>0</v>
      </c>
      <c r="BI71" s="207">
        <f t="shared" si="37"/>
        <v>0</v>
      </c>
      <c r="BJ71" s="207">
        <f t="shared" si="37"/>
        <v>0</v>
      </c>
      <c r="BK71" s="207">
        <f t="shared" si="37"/>
        <v>0</v>
      </c>
      <c r="BL71" s="207">
        <f t="shared" si="37"/>
        <v>0</v>
      </c>
      <c r="BM71" s="207">
        <f t="shared" si="37"/>
        <v>0</v>
      </c>
      <c r="BN71" s="207">
        <f t="shared" si="37"/>
        <v>0</v>
      </c>
      <c r="BO71" s="207">
        <f>SUM(BO72:BO73)</f>
        <v>0</v>
      </c>
      <c r="BP71" s="207">
        <f>SUM(BP72:BP73)</f>
        <v>0</v>
      </c>
    </row>
    <row r="72" spans="1:68" s="2" customFormat="1" x14ac:dyDescent="0.2">
      <c r="A72" s="10"/>
      <c r="B72" s="21"/>
      <c r="C72" s="22"/>
      <c r="D72" s="11" t="s">
        <v>11</v>
      </c>
      <c r="E72" s="381">
        <f>SUMIF($G$2:$BP$2,E$2,($G72:$BP72))</f>
        <v>0</v>
      </c>
      <c r="F72" s="381">
        <f>SUMIF($G$2:$BP$2,F$2,($G72:$BP72))</f>
        <v>0</v>
      </c>
      <c r="G72" s="224"/>
      <c r="H72" s="224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>
        <v>0</v>
      </c>
      <c r="X72" s="208">
        <v>0</v>
      </c>
      <c r="Y72" s="208"/>
      <c r="Z72" s="208"/>
      <c r="AA72" s="208">
        <v>0</v>
      </c>
      <c r="AB72" s="208">
        <v>0</v>
      </c>
      <c r="AC72" s="208"/>
      <c r="AD72" s="208"/>
      <c r="AE72" s="208"/>
      <c r="AF72" s="208"/>
      <c r="AG72" s="208"/>
      <c r="AH72" s="208"/>
      <c r="AI72" s="208">
        <v>0</v>
      </c>
      <c r="AJ72" s="208">
        <v>0</v>
      </c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>
        <v>0</v>
      </c>
      <c r="BN72" s="208">
        <v>0</v>
      </c>
      <c r="BO72" s="442">
        <v>0</v>
      </c>
      <c r="BP72" s="442">
        <v>0</v>
      </c>
    </row>
    <row r="73" spans="1:68" x14ac:dyDescent="0.2">
      <c r="A73" s="10"/>
      <c r="B73" s="21"/>
      <c r="C73" s="22"/>
      <c r="D73" s="11" t="s">
        <v>12</v>
      </c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  <c r="BO73" s="362"/>
      <c r="BP73" s="362"/>
    </row>
    <row r="74" spans="1:68" s="2" customFormat="1" x14ac:dyDescent="0.2">
      <c r="A74" s="165"/>
      <c r="B74" s="166"/>
      <c r="C74" s="168" t="s">
        <v>60</v>
      </c>
      <c r="D74" s="167"/>
      <c r="E74" s="207">
        <f>SUM(E75:E76)</f>
        <v>0</v>
      </c>
      <c r="F74" s="207">
        <f>SUM(F75:F76)</f>
        <v>0</v>
      </c>
      <c r="G74" s="207">
        <f>SUM(G75:G76)</f>
        <v>0</v>
      </c>
      <c r="H74" s="207">
        <f>SUM(H75:H76)</f>
        <v>0</v>
      </c>
      <c r="I74" s="207">
        <f t="shared" ref="I74:Z74" si="38">SUM(I75:I76)</f>
        <v>0</v>
      </c>
      <c r="J74" s="207">
        <f t="shared" si="38"/>
        <v>0</v>
      </c>
      <c r="K74" s="207">
        <f t="shared" si="38"/>
        <v>0</v>
      </c>
      <c r="L74" s="207">
        <f t="shared" si="38"/>
        <v>0</v>
      </c>
      <c r="M74" s="207">
        <f t="shared" si="38"/>
        <v>0</v>
      </c>
      <c r="N74" s="207">
        <f t="shared" si="38"/>
        <v>0</v>
      </c>
      <c r="O74" s="207">
        <f t="shared" si="38"/>
        <v>0</v>
      </c>
      <c r="P74" s="207">
        <f t="shared" si="38"/>
        <v>0</v>
      </c>
      <c r="Q74" s="207">
        <f t="shared" si="38"/>
        <v>0</v>
      </c>
      <c r="R74" s="207">
        <f t="shared" si="38"/>
        <v>0</v>
      </c>
      <c r="S74" s="207">
        <f t="shared" si="38"/>
        <v>0</v>
      </c>
      <c r="T74" s="207">
        <f t="shared" si="38"/>
        <v>0</v>
      </c>
      <c r="U74" s="207">
        <f t="shared" si="38"/>
        <v>0</v>
      </c>
      <c r="V74" s="207">
        <f t="shared" si="38"/>
        <v>0</v>
      </c>
      <c r="W74" s="207">
        <f t="shared" si="38"/>
        <v>0</v>
      </c>
      <c r="X74" s="207">
        <f t="shared" si="38"/>
        <v>0</v>
      </c>
      <c r="Y74" s="207">
        <f t="shared" si="38"/>
        <v>0</v>
      </c>
      <c r="Z74" s="207">
        <f t="shared" si="38"/>
        <v>0</v>
      </c>
      <c r="AA74" s="207">
        <f t="shared" ref="AA74:BN74" si="39">SUM(AA75:AA76)</f>
        <v>0</v>
      </c>
      <c r="AB74" s="207">
        <f t="shared" si="39"/>
        <v>0</v>
      </c>
      <c r="AC74" s="207">
        <f t="shared" si="39"/>
        <v>0</v>
      </c>
      <c r="AD74" s="207">
        <f t="shared" si="39"/>
        <v>0</v>
      </c>
      <c r="AE74" s="207">
        <f t="shared" si="39"/>
        <v>0</v>
      </c>
      <c r="AF74" s="207">
        <f t="shared" si="39"/>
        <v>0</v>
      </c>
      <c r="AG74" s="207">
        <f t="shared" si="39"/>
        <v>0</v>
      </c>
      <c r="AH74" s="207">
        <f t="shared" si="39"/>
        <v>0</v>
      </c>
      <c r="AI74" s="207">
        <f t="shared" si="39"/>
        <v>0</v>
      </c>
      <c r="AJ74" s="207">
        <f t="shared" si="39"/>
        <v>0</v>
      </c>
      <c r="AK74" s="207">
        <f t="shared" si="39"/>
        <v>0</v>
      </c>
      <c r="AL74" s="207">
        <f t="shared" si="39"/>
        <v>0</v>
      </c>
      <c r="AM74" s="207">
        <f t="shared" si="39"/>
        <v>0</v>
      </c>
      <c r="AN74" s="207">
        <f t="shared" si="39"/>
        <v>0</v>
      </c>
      <c r="AO74" s="207">
        <f t="shared" si="39"/>
        <v>0</v>
      </c>
      <c r="AP74" s="207">
        <f t="shared" si="39"/>
        <v>0</v>
      </c>
      <c r="AQ74" s="207">
        <f t="shared" si="39"/>
        <v>0</v>
      </c>
      <c r="AR74" s="207">
        <f t="shared" si="39"/>
        <v>0</v>
      </c>
      <c r="AS74" s="207">
        <f t="shared" si="39"/>
        <v>0</v>
      </c>
      <c r="AT74" s="207">
        <f t="shared" si="39"/>
        <v>0</v>
      </c>
      <c r="AU74" s="207">
        <f t="shared" si="39"/>
        <v>0</v>
      </c>
      <c r="AV74" s="207">
        <f t="shared" si="39"/>
        <v>0</v>
      </c>
      <c r="AW74" s="207">
        <f t="shared" si="39"/>
        <v>0</v>
      </c>
      <c r="AX74" s="207">
        <f t="shared" si="39"/>
        <v>0</v>
      </c>
      <c r="AY74" s="207">
        <f t="shared" si="39"/>
        <v>0</v>
      </c>
      <c r="AZ74" s="207">
        <f t="shared" si="39"/>
        <v>0</v>
      </c>
      <c r="BA74" s="207">
        <f t="shared" si="39"/>
        <v>0</v>
      </c>
      <c r="BB74" s="207">
        <f t="shared" si="39"/>
        <v>0</v>
      </c>
      <c r="BC74" s="207">
        <f t="shared" si="39"/>
        <v>0</v>
      </c>
      <c r="BD74" s="207">
        <f t="shared" si="39"/>
        <v>0</v>
      </c>
      <c r="BE74" s="207">
        <f t="shared" si="39"/>
        <v>0</v>
      </c>
      <c r="BF74" s="207">
        <f t="shared" si="39"/>
        <v>0</v>
      </c>
      <c r="BG74" s="207">
        <f t="shared" si="39"/>
        <v>0</v>
      </c>
      <c r="BH74" s="207">
        <f t="shared" si="39"/>
        <v>0</v>
      </c>
      <c r="BI74" s="207">
        <f t="shared" si="39"/>
        <v>0</v>
      </c>
      <c r="BJ74" s="207">
        <f t="shared" si="39"/>
        <v>0</v>
      </c>
      <c r="BK74" s="207">
        <f t="shared" si="39"/>
        <v>0</v>
      </c>
      <c r="BL74" s="207">
        <f t="shared" si="39"/>
        <v>0</v>
      </c>
      <c r="BM74" s="207">
        <f t="shared" si="39"/>
        <v>0</v>
      </c>
      <c r="BN74" s="207">
        <f t="shared" si="39"/>
        <v>0</v>
      </c>
      <c r="BO74" s="207">
        <f>SUM(BO75:BO76)</f>
        <v>0</v>
      </c>
      <c r="BP74" s="207">
        <f>SUM(BP75:BP76)</f>
        <v>0</v>
      </c>
    </row>
    <row r="75" spans="1:68" s="2" customFormat="1" x14ac:dyDescent="0.2">
      <c r="A75" s="10"/>
      <c r="B75" s="21"/>
      <c r="C75" s="22"/>
      <c r="D75" s="11" t="s">
        <v>11</v>
      </c>
      <c r="E75" s="381">
        <f>SUMIF($G$2:$BP$2,E$2,($G75:$BP75))</f>
        <v>0</v>
      </c>
      <c r="F75" s="381">
        <f>SUMIF($G$2:$BP$2,F$2,($G75:$BP75))</f>
        <v>0</v>
      </c>
      <c r="G75" s="224"/>
      <c r="H75" s="224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>
        <v>0</v>
      </c>
      <c r="X75" s="208">
        <v>0</v>
      </c>
      <c r="Y75" s="208"/>
      <c r="Z75" s="208"/>
      <c r="AA75" s="208">
        <v>0</v>
      </c>
      <c r="AB75" s="208">
        <v>0</v>
      </c>
      <c r="AC75" s="208"/>
      <c r="AD75" s="208"/>
      <c r="AE75" s="208"/>
      <c r="AF75" s="208"/>
      <c r="AG75" s="208"/>
      <c r="AH75" s="208"/>
      <c r="AI75" s="208">
        <v>0</v>
      </c>
      <c r="AJ75" s="208">
        <v>0</v>
      </c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>
        <v>0</v>
      </c>
      <c r="BN75" s="208">
        <v>0</v>
      </c>
      <c r="BO75" s="442">
        <v>0</v>
      </c>
      <c r="BP75" s="442">
        <v>0</v>
      </c>
    </row>
    <row r="76" spans="1:68" x14ac:dyDescent="0.2">
      <c r="A76" s="10"/>
      <c r="B76" s="21"/>
      <c r="C76" s="22"/>
      <c r="D76" s="11" t="s">
        <v>12</v>
      </c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362"/>
      <c r="AY76" s="362"/>
      <c r="AZ76" s="362"/>
      <c r="BA76" s="362"/>
      <c r="BB76" s="362"/>
      <c r="BC76" s="362"/>
      <c r="BD76" s="362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  <c r="BO76" s="362"/>
      <c r="BP76" s="362"/>
    </row>
    <row r="77" spans="1:68" x14ac:dyDescent="0.2">
      <c r="A77" s="165"/>
      <c r="B77" s="166"/>
      <c r="C77" s="168" t="s">
        <v>715</v>
      </c>
      <c r="D77" s="167"/>
      <c r="E77" s="207">
        <f>SUM(E78:E79)</f>
        <v>0</v>
      </c>
      <c r="F77" s="207">
        <f>SUM(F78:F79)</f>
        <v>0</v>
      </c>
      <c r="G77" s="207">
        <f>SUM(G78:G79)</f>
        <v>0</v>
      </c>
      <c r="H77" s="207">
        <f>SUM(H78:H79)</f>
        <v>0</v>
      </c>
      <c r="I77" s="207">
        <f t="shared" ref="I77:Z77" si="40">SUM(I78:I79)</f>
        <v>0</v>
      </c>
      <c r="J77" s="207">
        <f t="shared" si="40"/>
        <v>0</v>
      </c>
      <c r="K77" s="207">
        <f t="shared" si="40"/>
        <v>0</v>
      </c>
      <c r="L77" s="207">
        <f t="shared" si="40"/>
        <v>0</v>
      </c>
      <c r="M77" s="207">
        <f t="shared" si="40"/>
        <v>0</v>
      </c>
      <c r="N77" s="207">
        <f t="shared" si="40"/>
        <v>0</v>
      </c>
      <c r="O77" s="207">
        <f t="shared" si="40"/>
        <v>0</v>
      </c>
      <c r="P77" s="207">
        <f t="shared" si="40"/>
        <v>0</v>
      </c>
      <c r="Q77" s="207">
        <f t="shared" si="40"/>
        <v>0</v>
      </c>
      <c r="R77" s="207">
        <f t="shared" si="40"/>
        <v>0</v>
      </c>
      <c r="S77" s="207">
        <f t="shared" si="40"/>
        <v>0</v>
      </c>
      <c r="T77" s="207">
        <f t="shared" si="40"/>
        <v>0</v>
      </c>
      <c r="U77" s="207">
        <f t="shared" si="40"/>
        <v>0</v>
      </c>
      <c r="V77" s="207">
        <f t="shared" si="40"/>
        <v>0</v>
      </c>
      <c r="W77" s="207">
        <f t="shared" si="40"/>
        <v>0</v>
      </c>
      <c r="X77" s="207">
        <f t="shared" si="40"/>
        <v>0</v>
      </c>
      <c r="Y77" s="207">
        <f t="shared" si="40"/>
        <v>0</v>
      </c>
      <c r="Z77" s="207">
        <f t="shared" si="40"/>
        <v>0</v>
      </c>
      <c r="AA77" s="207">
        <f t="shared" ref="AA77:BN77" si="41">SUM(AA78:AA79)</f>
        <v>0</v>
      </c>
      <c r="AB77" s="207">
        <f t="shared" si="41"/>
        <v>0</v>
      </c>
      <c r="AC77" s="207">
        <f t="shared" si="41"/>
        <v>0</v>
      </c>
      <c r="AD77" s="207">
        <f t="shared" si="41"/>
        <v>0</v>
      </c>
      <c r="AE77" s="207">
        <f t="shared" si="41"/>
        <v>0</v>
      </c>
      <c r="AF77" s="207">
        <f t="shared" si="41"/>
        <v>0</v>
      </c>
      <c r="AG77" s="207">
        <f t="shared" si="41"/>
        <v>0</v>
      </c>
      <c r="AH77" s="207">
        <f t="shared" si="41"/>
        <v>0</v>
      </c>
      <c r="AI77" s="207">
        <f t="shared" si="41"/>
        <v>0</v>
      </c>
      <c r="AJ77" s="207">
        <f t="shared" si="41"/>
        <v>0</v>
      </c>
      <c r="AK77" s="207">
        <f t="shared" si="41"/>
        <v>0</v>
      </c>
      <c r="AL77" s="207">
        <f t="shared" si="41"/>
        <v>0</v>
      </c>
      <c r="AM77" s="207">
        <f t="shared" si="41"/>
        <v>0</v>
      </c>
      <c r="AN77" s="207">
        <f t="shared" si="41"/>
        <v>0</v>
      </c>
      <c r="AO77" s="207">
        <f t="shared" si="41"/>
        <v>0</v>
      </c>
      <c r="AP77" s="207">
        <f t="shared" si="41"/>
        <v>0</v>
      </c>
      <c r="AQ77" s="207">
        <f t="shared" si="41"/>
        <v>0</v>
      </c>
      <c r="AR77" s="207">
        <f t="shared" si="41"/>
        <v>0</v>
      </c>
      <c r="AS77" s="207">
        <f t="shared" si="41"/>
        <v>0</v>
      </c>
      <c r="AT77" s="207">
        <f t="shared" si="41"/>
        <v>0</v>
      </c>
      <c r="AU77" s="207">
        <f t="shared" si="41"/>
        <v>0</v>
      </c>
      <c r="AV77" s="207">
        <f t="shared" si="41"/>
        <v>0</v>
      </c>
      <c r="AW77" s="207">
        <f t="shared" si="41"/>
        <v>0</v>
      </c>
      <c r="AX77" s="207">
        <f t="shared" si="41"/>
        <v>0</v>
      </c>
      <c r="AY77" s="207">
        <f t="shared" si="41"/>
        <v>0</v>
      </c>
      <c r="AZ77" s="207">
        <f t="shared" si="41"/>
        <v>0</v>
      </c>
      <c r="BA77" s="207">
        <f t="shared" si="41"/>
        <v>0</v>
      </c>
      <c r="BB77" s="207">
        <f t="shared" si="41"/>
        <v>0</v>
      </c>
      <c r="BC77" s="207">
        <f t="shared" si="41"/>
        <v>0</v>
      </c>
      <c r="BD77" s="207">
        <f t="shared" si="41"/>
        <v>0</v>
      </c>
      <c r="BE77" s="207">
        <f t="shared" si="41"/>
        <v>0</v>
      </c>
      <c r="BF77" s="207">
        <f t="shared" si="41"/>
        <v>0</v>
      </c>
      <c r="BG77" s="207">
        <f t="shared" si="41"/>
        <v>0</v>
      </c>
      <c r="BH77" s="207">
        <f t="shared" si="41"/>
        <v>0</v>
      </c>
      <c r="BI77" s="207">
        <f t="shared" si="41"/>
        <v>0</v>
      </c>
      <c r="BJ77" s="207">
        <f t="shared" si="41"/>
        <v>0</v>
      </c>
      <c r="BK77" s="207">
        <f t="shared" si="41"/>
        <v>0</v>
      </c>
      <c r="BL77" s="207">
        <f t="shared" si="41"/>
        <v>0</v>
      </c>
      <c r="BM77" s="207">
        <f t="shared" si="41"/>
        <v>0</v>
      </c>
      <c r="BN77" s="207">
        <f t="shared" si="41"/>
        <v>0</v>
      </c>
      <c r="BO77" s="207">
        <f>SUM(BO78:BO79)</f>
        <v>0</v>
      </c>
      <c r="BP77" s="207">
        <f>SUM(BP78:BP79)</f>
        <v>0</v>
      </c>
    </row>
    <row r="78" spans="1:68" s="2" customFormat="1" x14ac:dyDescent="0.2">
      <c r="A78" s="10"/>
      <c r="B78" s="21"/>
      <c r="C78" s="22"/>
      <c r="D78" s="11" t="s">
        <v>11</v>
      </c>
      <c r="E78" s="381">
        <f>SUMIF($G$2:$BP$2,E$2,($G78:$BP78))</f>
        <v>0</v>
      </c>
      <c r="F78" s="381">
        <f>SUMIF($G$2:$BP$2,F$2,($G78:$BP78))</f>
        <v>0</v>
      </c>
      <c r="G78" s="224"/>
      <c r="H78" s="224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>
        <v>0</v>
      </c>
      <c r="X78" s="208">
        <v>0</v>
      </c>
      <c r="Y78" s="208"/>
      <c r="Z78" s="208"/>
      <c r="AA78" s="208">
        <v>0</v>
      </c>
      <c r="AB78" s="208">
        <v>0</v>
      </c>
      <c r="AC78" s="208"/>
      <c r="AD78" s="208"/>
      <c r="AE78" s="208"/>
      <c r="AF78" s="208"/>
      <c r="AG78" s="208"/>
      <c r="AH78" s="208"/>
      <c r="AI78" s="208">
        <v>0</v>
      </c>
      <c r="AJ78" s="208">
        <v>0</v>
      </c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8"/>
      <c r="BH78" s="208"/>
      <c r="BI78" s="208"/>
      <c r="BJ78" s="208"/>
      <c r="BK78" s="208"/>
      <c r="BL78" s="208"/>
      <c r="BM78" s="208">
        <v>0</v>
      </c>
      <c r="BN78" s="208">
        <v>0</v>
      </c>
      <c r="BO78" s="442">
        <v>0</v>
      </c>
      <c r="BP78" s="442">
        <v>0</v>
      </c>
    </row>
    <row r="79" spans="1:68" x14ac:dyDescent="0.2">
      <c r="A79" s="10"/>
      <c r="B79" s="21"/>
      <c r="C79" s="22"/>
      <c r="D79" s="11" t="s">
        <v>12</v>
      </c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  <c r="BO79" s="362"/>
      <c r="BP79" s="362"/>
    </row>
    <row r="80" spans="1:68" x14ac:dyDescent="0.2">
      <c r="A80" s="165"/>
      <c r="B80" s="166"/>
      <c r="C80" s="168" t="s">
        <v>81</v>
      </c>
      <c r="D80" s="167"/>
      <c r="E80" s="207">
        <f>SUM(E81:E82)</f>
        <v>58314</v>
      </c>
      <c r="F80" s="207">
        <f>SUM(F81:F82)</f>
        <v>65500</v>
      </c>
      <c r="G80" s="207">
        <f>SUM(G81:G82)</f>
        <v>13380</v>
      </c>
      <c r="H80" s="207">
        <f>SUM(H81:H82)</f>
        <v>14000</v>
      </c>
      <c r="I80" s="207">
        <f t="shared" ref="I80:Z80" si="42">SUM(I81:I82)</f>
        <v>400</v>
      </c>
      <c r="J80" s="207">
        <f t="shared" si="42"/>
        <v>1000</v>
      </c>
      <c r="K80" s="207">
        <f t="shared" si="42"/>
        <v>0</v>
      </c>
      <c r="L80" s="207">
        <f t="shared" si="42"/>
        <v>2000</v>
      </c>
      <c r="M80" s="207">
        <f t="shared" si="42"/>
        <v>19710</v>
      </c>
      <c r="N80" s="207">
        <f t="shared" si="42"/>
        <v>20000</v>
      </c>
      <c r="O80" s="207">
        <f t="shared" si="42"/>
        <v>3900</v>
      </c>
      <c r="P80" s="207">
        <f t="shared" si="42"/>
        <v>4000</v>
      </c>
      <c r="Q80" s="207">
        <f t="shared" si="42"/>
        <v>0</v>
      </c>
      <c r="R80" s="207">
        <f t="shared" si="42"/>
        <v>0</v>
      </c>
      <c r="S80" s="207">
        <f t="shared" si="42"/>
        <v>0</v>
      </c>
      <c r="T80" s="207">
        <f t="shared" si="42"/>
        <v>0</v>
      </c>
      <c r="U80" s="207">
        <f t="shared" si="42"/>
        <v>3510</v>
      </c>
      <c r="V80" s="207">
        <f t="shared" si="42"/>
        <v>3500</v>
      </c>
      <c r="W80" s="207">
        <f t="shared" si="42"/>
        <v>1760</v>
      </c>
      <c r="X80" s="207">
        <f t="shared" si="42"/>
        <v>2000</v>
      </c>
      <c r="Y80" s="207">
        <f t="shared" si="42"/>
        <v>0</v>
      </c>
      <c r="Z80" s="207">
        <f t="shared" si="42"/>
        <v>0</v>
      </c>
      <c r="AA80" s="207">
        <f t="shared" ref="AA80:BN80" si="43">SUM(AA81:AA82)</f>
        <v>0</v>
      </c>
      <c r="AB80" s="207">
        <f t="shared" si="43"/>
        <v>1000</v>
      </c>
      <c r="AC80" s="207">
        <f t="shared" si="43"/>
        <v>2800</v>
      </c>
      <c r="AD80" s="207">
        <f t="shared" si="43"/>
        <v>5000</v>
      </c>
      <c r="AE80" s="207">
        <f t="shared" si="43"/>
        <v>0</v>
      </c>
      <c r="AF80" s="207">
        <f t="shared" si="43"/>
        <v>0</v>
      </c>
      <c r="AG80" s="207">
        <f t="shared" si="43"/>
        <v>0</v>
      </c>
      <c r="AH80" s="207">
        <f t="shared" si="43"/>
        <v>0</v>
      </c>
      <c r="AI80" s="207">
        <f t="shared" si="43"/>
        <v>0</v>
      </c>
      <c r="AJ80" s="207">
        <f t="shared" si="43"/>
        <v>0</v>
      </c>
      <c r="AK80" s="207">
        <f t="shared" si="43"/>
        <v>3000</v>
      </c>
      <c r="AL80" s="207">
        <f t="shared" si="43"/>
        <v>3000</v>
      </c>
      <c r="AM80" s="207">
        <f t="shared" si="43"/>
        <v>0</v>
      </c>
      <c r="AN80" s="207">
        <f t="shared" si="43"/>
        <v>0</v>
      </c>
      <c r="AO80" s="207">
        <f t="shared" si="43"/>
        <v>0</v>
      </c>
      <c r="AP80" s="207">
        <f t="shared" si="43"/>
        <v>0</v>
      </c>
      <c r="AQ80" s="207">
        <f t="shared" si="43"/>
        <v>0</v>
      </c>
      <c r="AR80" s="207">
        <f t="shared" si="43"/>
        <v>0</v>
      </c>
      <c r="AS80" s="207">
        <f t="shared" si="43"/>
        <v>0</v>
      </c>
      <c r="AT80" s="207">
        <f t="shared" si="43"/>
        <v>0</v>
      </c>
      <c r="AU80" s="207">
        <f t="shared" si="43"/>
        <v>0</v>
      </c>
      <c r="AV80" s="207">
        <f t="shared" si="43"/>
        <v>0</v>
      </c>
      <c r="AW80" s="207">
        <f t="shared" si="43"/>
        <v>0</v>
      </c>
      <c r="AX80" s="207">
        <f t="shared" si="43"/>
        <v>0</v>
      </c>
      <c r="AY80" s="207">
        <f t="shared" si="43"/>
        <v>0</v>
      </c>
      <c r="AZ80" s="207">
        <f t="shared" si="43"/>
        <v>0</v>
      </c>
      <c r="BA80" s="207">
        <f t="shared" si="43"/>
        <v>0</v>
      </c>
      <c r="BB80" s="207">
        <f t="shared" si="43"/>
        <v>0</v>
      </c>
      <c r="BC80" s="207">
        <f t="shared" si="43"/>
        <v>0</v>
      </c>
      <c r="BD80" s="207">
        <f t="shared" si="43"/>
        <v>0</v>
      </c>
      <c r="BE80" s="207">
        <f t="shared" si="43"/>
        <v>0</v>
      </c>
      <c r="BF80" s="207">
        <f t="shared" si="43"/>
        <v>0</v>
      </c>
      <c r="BG80" s="207">
        <f t="shared" si="43"/>
        <v>0</v>
      </c>
      <c r="BH80" s="207">
        <f t="shared" si="43"/>
        <v>0</v>
      </c>
      <c r="BI80" s="207">
        <f t="shared" si="43"/>
        <v>0</v>
      </c>
      <c r="BJ80" s="207">
        <f t="shared" si="43"/>
        <v>0</v>
      </c>
      <c r="BK80" s="207">
        <f t="shared" si="43"/>
        <v>0</v>
      </c>
      <c r="BL80" s="207">
        <f t="shared" si="43"/>
        <v>0</v>
      </c>
      <c r="BM80" s="207">
        <f t="shared" si="43"/>
        <v>9854</v>
      </c>
      <c r="BN80" s="207">
        <f t="shared" si="43"/>
        <v>10000</v>
      </c>
      <c r="BO80" s="207">
        <f>SUM(BO81:BO82)</f>
        <v>0</v>
      </c>
      <c r="BP80" s="207">
        <f>SUM(BP81:BP82)</f>
        <v>0</v>
      </c>
    </row>
    <row r="81" spans="1:68" s="2" customFormat="1" x14ac:dyDescent="0.2">
      <c r="A81" s="10"/>
      <c r="B81" s="21"/>
      <c r="C81" s="22"/>
      <c r="D81" s="387" t="s">
        <v>11</v>
      </c>
      <c r="E81" s="381">
        <f>SUMIF($G$2:$BP$2,E$2,($G81:$BP81))</f>
        <v>58314</v>
      </c>
      <c r="F81" s="381">
        <f>SUMIF($G$2:$BP$2,F$2,($G81:$BP81))</f>
        <v>65500</v>
      </c>
      <c r="G81" s="444">
        <v>13380</v>
      </c>
      <c r="H81" s="445">
        <v>14000</v>
      </c>
      <c r="I81" s="444">
        <v>400</v>
      </c>
      <c r="J81" s="445">
        <v>1000</v>
      </c>
      <c r="K81" s="444">
        <v>0</v>
      </c>
      <c r="L81" s="445">
        <v>2000</v>
      </c>
      <c r="M81" s="444">
        <v>19710</v>
      </c>
      <c r="N81" s="445">
        <v>20000</v>
      </c>
      <c r="O81" s="444">
        <v>3900</v>
      </c>
      <c r="P81" s="457">
        <v>4000</v>
      </c>
      <c r="Q81" s="224"/>
      <c r="R81" s="388"/>
      <c r="S81" s="224"/>
      <c r="T81" s="388"/>
      <c r="U81" s="444">
        <v>3510</v>
      </c>
      <c r="V81" s="445">
        <v>3500</v>
      </c>
      <c r="W81" s="444">
        <v>1760</v>
      </c>
      <c r="X81" s="445">
        <v>2000</v>
      </c>
      <c r="Y81" s="444">
        <v>0</v>
      </c>
      <c r="Z81" s="445">
        <v>0</v>
      </c>
      <c r="AA81" s="224"/>
      <c r="AB81" s="388">
        <v>1000</v>
      </c>
      <c r="AC81" s="459">
        <v>2800</v>
      </c>
      <c r="AD81" s="465">
        <v>5000</v>
      </c>
      <c r="AE81" s="224"/>
      <c r="AF81" s="388"/>
      <c r="AG81" s="224"/>
      <c r="AH81" s="388"/>
      <c r="AI81" s="224"/>
      <c r="AJ81" s="388"/>
      <c r="AK81" s="440">
        <v>3000</v>
      </c>
      <c r="AL81" s="440">
        <v>3000</v>
      </c>
      <c r="AM81" s="224"/>
      <c r="AN81" s="388"/>
      <c r="AO81" s="224"/>
      <c r="AP81" s="388"/>
      <c r="AQ81" s="224"/>
      <c r="AR81" s="388"/>
      <c r="AS81" s="224"/>
      <c r="AT81" s="388"/>
      <c r="AU81" s="224"/>
      <c r="AV81" s="388"/>
      <c r="AW81" s="224"/>
      <c r="AX81" s="388"/>
      <c r="AY81" s="224"/>
      <c r="AZ81" s="388"/>
      <c r="BA81" s="224"/>
      <c r="BB81" s="388"/>
      <c r="BC81" s="224"/>
      <c r="BD81" s="388"/>
      <c r="BE81" s="224"/>
      <c r="BF81" s="388"/>
      <c r="BG81" s="224"/>
      <c r="BH81" s="388"/>
      <c r="BI81" s="224"/>
      <c r="BJ81" s="388"/>
      <c r="BK81" s="224"/>
      <c r="BL81" s="388"/>
      <c r="BM81" s="444">
        <v>9854</v>
      </c>
      <c r="BN81" s="444">
        <v>10000</v>
      </c>
      <c r="BO81" s="442">
        <v>0</v>
      </c>
      <c r="BP81" s="442">
        <v>0</v>
      </c>
    </row>
    <row r="82" spans="1:68" x14ac:dyDescent="0.2">
      <c r="A82" s="10"/>
      <c r="B82" s="21"/>
      <c r="C82" s="22"/>
      <c r="D82" s="11" t="s">
        <v>12</v>
      </c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</row>
    <row r="83" spans="1:68" x14ac:dyDescent="0.2">
      <c r="A83" s="135">
        <v>5</v>
      </c>
      <c r="B83" s="141" t="s">
        <v>68</v>
      </c>
      <c r="C83" s="142"/>
      <c r="D83" s="143"/>
      <c r="E83" s="205">
        <f>SUM(E84)</f>
        <v>0</v>
      </c>
      <c r="F83" s="205">
        <f>SUM(F84)</f>
        <v>0</v>
      </c>
      <c r="G83" s="205">
        <f>SUM(G84)</f>
        <v>0</v>
      </c>
      <c r="H83" s="205">
        <f>SUM(H84)</f>
        <v>0</v>
      </c>
      <c r="I83" s="205">
        <f t="shared" ref="I83:Z83" si="44">SUM(I84)</f>
        <v>0</v>
      </c>
      <c r="J83" s="205">
        <f t="shared" si="44"/>
        <v>0</v>
      </c>
      <c r="K83" s="205">
        <f t="shared" si="44"/>
        <v>0</v>
      </c>
      <c r="L83" s="205">
        <f t="shared" si="44"/>
        <v>0</v>
      </c>
      <c r="M83" s="205">
        <f t="shared" si="44"/>
        <v>0</v>
      </c>
      <c r="N83" s="205">
        <f t="shared" si="44"/>
        <v>0</v>
      </c>
      <c r="O83" s="205">
        <f t="shared" si="44"/>
        <v>0</v>
      </c>
      <c r="P83" s="205">
        <f t="shared" si="44"/>
        <v>0</v>
      </c>
      <c r="Q83" s="205">
        <f t="shared" si="44"/>
        <v>0</v>
      </c>
      <c r="R83" s="205">
        <f t="shared" si="44"/>
        <v>0</v>
      </c>
      <c r="S83" s="205">
        <f t="shared" si="44"/>
        <v>0</v>
      </c>
      <c r="T83" s="205">
        <f t="shared" si="44"/>
        <v>0</v>
      </c>
      <c r="U83" s="205">
        <f t="shared" si="44"/>
        <v>0</v>
      </c>
      <c r="V83" s="205">
        <f t="shared" si="44"/>
        <v>0</v>
      </c>
      <c r="W83" s="205">
        <f t="shared" si="44"/>
        <v>0</v>
      </c>
      <c r="X83" s="205">
        <f t="shared" si="44"/>
        <v>0</v>
      </c>
      <c r="Y83" s="205">
        <f t="shared" si="44"/>
        <v>0</v>
      </c>
      <c r="Z83" s="205">
        <f t="shared" si="44"/>
        <v>0</v>
      </c>
      <c r="AA83" s="205">
        <f t="shared" ref="AA83:BN83" si="45">SUM(AA84)</f>
        <v>0</v>
      </c>
      <c r="AB83" s="205">
        <f t="shared" si="45"/>
        <v>0</v>
      </c>
      <c r="AC83" s="205">
        <f t="shared" si="45"/>
        <v>0</v>
      </c>
      <c r="AD83" s="205">
        <f t="shared" si="45"/>
        <v>0</v>
      </c>
      <c r="AE83" s="205">
        <f t="shared" si="45"/>
        <v>0</v>
      </c>
      <c r="AF83" s="205">
        <f t="shared" si="45"/>
        <v>0</v>
      </c>
      <c r="AG83" s="205">
        <f t="shared" si="45"/>
        <v>0</v>
      </c>
      <c r="AH83" s="205">
        <f t="shared" si="45"/>
        <v>0</v>
      </c>
      <c r="AI83" s="205">
        <f t="shared" si="45"/>
        <v>0</v>
      </c>
      <c r="AJ83" s="205">
        <f t="shared" si="45"/>
        <v>0</v>
      </c>
      <c r="AK83" s="205">
        <f t="shared" si="45"/>
        <v>0</v>
      </c>
      <c r="AL83" s="205">
        <f t="shared" si="45"/>
        <v>0</v>
      </c>
      <c r="AM83" s="205">
        <f t="shared" si="45"/>
        <v>0</v>
      </c>
      <c r="AN83" s="205">
        <f t="shared" si="45"/>
        <v>0</v>
      </c>
      <c r="AO83" s="205">
        <f t="shared" si="45"/>
        <v>0</v>
      </c>
      <c r="AP83" s="205">
        <f t="shared" si="45"/>
        <v>0</v>
      </c>
      <c r="AQ83" s="205">
        <f t="shared" si="45"/>
        <v>0</v>
      </c>
      <c r="AR83" s="205">
        <f t="shared" si="45"/>
        <v>0</v>
      </c>
      <c r="AS83" s="205">
        <f t="shared" si="45"/>
        <v>0</v>
      </c>
      <c r="AT83" s="205">
        <f t="shared" si="45"/>
        <v>0</v>
      </c>
      <c r="AU83" s="205">
        <f t="shared" si="45"/>
        <v>0</v>
      </c>
      <c r="AV83" s="205">
        <f t="shared" si="45"/>
        <v>0</v>
      </c>
      <c r="AW83" s="205">
        <f t="shared" si="45"/>
        <v>0</v>
      </c>
      <c r="AX83" s="205">
        <f t="shared" si="45"/>
        <v>0</v>
      </c>
      <c r="AY83" s="205">
        <f t="shared" si="45"/>
        <v>0</v>
      </c>
      <c r="AZ83" s="205">
        <f t="shared" si="45"/>
        <v>0</v>
      </c>
      <c r="BA83" s="205">
        <f t="shared" si="45"/>
        <v>0</v>
      </c>
      <c r="BB83" s="205">
        <f t="shared" si="45"/>
        <v>0</v>
      </c>
      <c r="BC83" s="205">
        <f t="shared" si="45"/>
        <v>0</v>
      </c>
      <c r="BD83" s="205">
        <f t="shared" si="45"/>
        <v>0</v>
      </c>
      <c r="BE83" s="205">
        <f t="shared" si="45"/>
        <v>0</v>
      </c>
      <c r="BF83" s="205">
        <f t="shared" si="45"/>
        <v>0</v>
      </c>
      <c r="BG83" s="205">
        <f t="shared" si="45"/>
        <v>0</v>
      </c>
      <c r="BH83" s="205">
        <f t="shared" si="45"/>
        <v>0</v>
      </c>
      <c r="BI83" s="205">
        <f t="shared" si="45"/>
        <v>0</v>
      </c>
      <c r="BJ83" s="205">
        <f t="shared" si="45"/>
        <v>0</v>
      </c>
      <c r="BK83" s="205">
        <f t="shared" si="45"/>
        <v>0</v>
      </c>
      <c r="BL83" s="205">
        <f t="shared" si="45"/>
        <v>0</v>
      </c>
      <c r="BM83" s="205">
        <f t="shared" si="45"/>
        <v>0</v>
      </c>
      <c r="BN83" s="205">
        <f t="shared" si="45"/>
        <v>0</v>
      </c>
      <c r="BO83" s="205">
        <f>SUM(BO84)</f>
        <v>0</v>
      </c>
      <c r="BP83" s="205">
        <f>SUM(BP84)</f>
        <v>0</v>
      </c>
    </row>
    <row r="84" spans="1:68" s="2" customFormat="1" x14ac:dyDescent="0.2">
      <c r="A84" s="10"/>
      <c r="B84" s="21"/>
      <c r="C84" s="22" t="s">
        <v>69</v>
      </c>
      <c r="D84" s="23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  <c r="AG84" s="36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  <c r="BO84" s="360"/>
      <c r="BP84" s="360"/>
    </row>
    <row r="85" spans="1:68" x14ac:dyDescent="0.2">
      <c r="A85" s="135">
        <v>6</v>
      </c>
      <c r="B85" s="141" t="s">
        <v>1152</v>
      </c>
      <c r="C85" s="142"/>
      <c r="D85" s="143"/>
      <c r="E85" s="205">
        <f>SUM(E86)</f>
        <v>0</v>
      </c>
      <c r="F85" s="205">
        <f>SUM(F86)</f>
        <v>0</v>
      </c>
      <c r="G85" s="205">
        <f>SUM(G86)</f>
        <v>0</v>
      </c>
      <c r="H85" s="205">
        <f>SUM(H86)</f>
        <v>0</v>
      </c>
      <c r="I85" s="205">
        <f t="shared" ref="I85:Z85" si="46">SUM(I86)</f>
        <v>0</v>
      </c>
      <c r="J85" s="205">
        <f t="shared" si="46"/>
        <v>0</v>
      </c>
      <c r="K85" s="205">
        <f t="shared" si="46"/>
        <v>0</v>
      </c>
      <c r="L85" s="205">
        <f t="shared" si="46"/>
        <v>0</v>
      </c>
      <c r="M85" s="205">
        <f t="shared" si="46"/>
        <v>0</v>
      </c>
      <c r="N85" s="205">
        <f t="shared" si="46"/>
        <v>0</v>
      </c>
      <c r="O85" s="205">
        <f t="shared" si="46"/>
        <v>0</v>
      </c>
      <c r="P85" s="205">
        <f t="shared" si="46"/>
        <v>0</v>
      </c>
      <c r="Q85" s="205">
        <f t="shared" si="46"/>
        <v>0</v>
      </c>
      <c r="R85" s="205">
        <f t="shared" si="46"/>
        <v>0</v>
      </c>
      <c r="S85" s="205">
        <f t="shared" si="46"/>
        <v>0</v>
      </c>
      <c r="T85" s="205">
        <f t="shared" si="46"/>
        <v>0</v>
      </c>
      <c r="U85" s="205">
        <f t="shared" si="46"/>
        <v>0</v>
      </c>
      <c r="V85" s="205">
        <f t="shared" si="46"/>
        <v>0</v>
      </c>
      <c r="W85" s="205">
        <f t="shared" si="46"/>
        <v>0</v>
      </c>
      <c r="X85" s="205">
        <f t="shared" si="46"/>
        <v>0</v>
      </c>
      <c r="Y85" s="205">
        <f t="shared" si="46"/>
        <v>0</v>
      </c>
      <c r="Z85" s="205">
        <f t="shared" si="46"/>
        <v>0</v>
      </c>
      <c r="AA85" s="205">
        <f t="shared" ref="AA85:BN85" si="47">SUM(AA86)</f>
        <v>0</v>
      </c>
      <c r="AB85" s="205">
        <f t="shared" si="47"/>
        <v>0</v>
      </c>
      <c r="AC85" s="205">
        <f t="shared" si="47"/>
        <v>0</v>
      </c>
      <c r="AD85" s="205">
        <f t="shared" si="47"/>
        <v>0</v>
      </c>
      <c r="AE85" s="205">
        <f t="shared" si="47"/>
        <v>0</v>
      </c>
      <c r="AF85" s="205">
        <f t="shared" si="47"/>
        <v>0</v>
      </c>
      <c r="AG85" s="205">
        <f t="shared" si="47"/>
        <v>0</v>
      </c>
      <c r="AH85" s="205">
        <f t="shared" si="47"/>
        <v>0</v>
      </c>
      <c r="AI85" s="205">
        <f t="shared" si="47"/>
        <v>0</v>
      </c>
      <c r="AJ85" s="205">
        <f t="shared" si="47"/>
        <v>0</v>
      </c>
      <c r="AK85" s="205">
        <f t="shared" si="47"/>
        <v>0</v>
      </c>
      <c r="AL85" s="205">
        <f t="shared" si="47"/>
        <v>0</v>
      </c>
      <c r="AM85" s="205">
        <f t="shared" si="47"/>
        <v>0</v>
      </c>
      <c r="AN85" s="205">
        <f t="shared" si="47"/>
        <v>0</v>
      </c>
      <c r="AO85" s="205">
        <f t="shared" si="47"/>
        <v>0</v>
      </c>
      <c r="AP85" s="205">
        <f t="shared" si="47"/>
        <v>0</v>
      </c>
      <c r="AQ85" s="205">
        <f t="shared" si="47"/>
        <v>0</v>
      </c>
      <c r="AR85" s="205">
        <f t="shared" si="47"/>
        <v>0</v>
      </c>
      <c r="AS85" s="205">
        <f t="shared" si="47"/>
        <v>0</v>
      </c>
      <c r="AT85" s="205">
        <f t="shared" si="47"/>
        <v>0</v>
      </c>
      <c r="AU85" s="205">
        <f t="shared" si="47"/>
        <v>0</v>
      </c>
      <c r="AV85" s="205">
        <f t="shared" si="47"/>
        <v>0</v>
      </c>
      <c r="AW85" s="205">
        <f t="shared" si="47"/>
        <v>0</v>
      </c>
      <c r="AX85" s="205">
        <f t="shared" si="47"/>
        <v>0</v>
      </c>
      <c r="AY85" s="205">
        <f t="shared" si="47"/>
        <v>0</v>
      </c>
      <c r="AZ85" s="205">
        <f t="shared" si="47"/>
        <v>0</v>
      </c>
      <c r="BA85" s="205">
        <f t="shared" si="47"/>
        <v>0</v>
      </c>
      <c r="BB85" s="205">
        <f t="shared" si="47"/>
        <v>0</v>
      </c>
      <c r="BC85" s="205">
        <f t="shared" si="47"/>
        <v>0</v>
      </c>
      <c r="BD85" s="205">
        <f t="shared" si="47"/>
        <v>0</v>
      </c>
      <c r="BE85" s="205">
        <f t="shared" si="47"/>
        <v>0</v>
      </c>
      <c r="BF85" s="205">
        <f t="shared" si="47"/>
        <v>0</v>
      </c>
      <c r="BG85" s="205">
        <f t="shared" si="47"/>
        <v>0</v>
      </c>
      <c r="BH85" s="205">
        <f t="shared" si="47"/>
        <v>0</v>
      </c>
      <c r="BI85" s="205">
        <f t="shared" si="47"/>
        <v>0</v>
      </c>
      <c r="BJ85" s="205">
        <f t="shared" si="47"/>
        <v>0</v>
      </c>
      <c r="BK85" s="205">
        <f t="shared" si="47"/>
        <v>0</v>
      </c>
      <c r="BL85" s="205">
        <f t="shared" si="47"/>
        <v>0</v>
      </c>
      <c r="BM85" s="205">
        <f t="shared" si="47"/>
        <v>0</v>
      </c>
      <c r="BN85" s="205">
        <f t="shared" si="47"/>
        <v>0</v>
      </c>
      <c r="BO85" s="205">
        <f>SUM(BO86)</f>
        <v>0</v>
      </c>
      <c r="BP85" s="205">
        <f>SUM(BP86)</f>
        <v>0</v>
      </c>
    </row>
    <row r="86" spans="1:68" x14ac:dyDescent="0.2">
      <c r="A86" s="10"/>
      <c r="B86" s="21"/>
      <c r="C86" s="22" t="s">
        <v>1153</v>
      </c>
      <c r="D86" s="23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  <c r="BO86" s="360"/>
      <c r="BP86" s="360"/>
    </row>
    <row r="87" spans="1:68" s="2" customFormat="1" x14ac:dyDescent="0.2">
      <c r="A87" s="135">
        <v>7</v>
      </c>
      <c r="B87" s="141" t="s">
        <v>70</v>
      </c>
      <c r="C87" s="142"/>
      <c r="D87" s="143"/>
      <c r="E87" s="205">
        <f>SUM(E88)</f>
        <v>9546495</v>
      </c>
      <c r="F87" s="205">
        <f>SUM(F88)</f>
        <v>9579832</v>
      </c>
      <c r="G87" s="205">
        <f>SUM(G88)</f>
        <v>539221</v>
      </c>
      <c r="H87" s="205">
        <f>SUM(H88)</f>
        <v>575715</v>
      </c>
      <c r="I87" s="205">
        <f t="shared" ref="I87:Z87" si="48">SUM(I88)</f>
        <v>314360</v>
      </c>
      <c r="J87" s="205">
        <f t="shared" si="48"/>
        <v>335015</v>
      </c>
      <c r="K87" s="205">
        <f t="shared" si="48"/>
        <v>435920</v>
      </c>
      <c r="L87" s="205">
        <f t="shared" si="48"/>
        <v>347314</v>
      </c>
      <c r="M87" s="205">
        <f t="shared" si="48"/>
        <v>490056</v>
      </c>
      <c r="N87" s="205">
        <f t="shared" si="48"/>
        <v>724731</v>
      </c>
      <c r="O87" s="205">
        <f t="shared" si="48"/>
        <v>477800</v>
      </c>
      <c r="P87" s="205">
        <f t="shared" si="48"/>
        <v>540498</v>
      </c>
      <c r="Q87" s="205">
        <f t="shared" si="48"/>
        <v>519568</v>
      </c>
      <c r="R87" s="205">
        <f t="shared" si="48"/>
        <v>581162</v>
      </c>
      <c r="S87" s="205">
        <f t="shared" si="48"/>
        <v>558080</v>
      </c>
      <c r="T87" s="205">
        <f t="shared" si="48"/>
        <v>556720</v>
      </c>
      <c r="U87" s="205">
        <f t="shared" si="48"/>
        <v>433960</v>
      </c>
      <c r="V87" s="205">
        <f t="shared" si="48"/>
        <v>309862</v>
      </c>
      <c r="W87" s="205">
        <f t="shared" si="48"/>
        <v>465212</v>
      </c>
      <c r="X87" s="205">
        <f t="shared" si="48"/>
        <v>358381</v>
      </c>
      <c r="Y87" s="205">
        <f t="shared" si="48"/>
        <v>330080</v>
      </c>
      <c r="Z87" s="205">
        <f t="shared" si="48"/>
        <v>231126</v>
      </c>
      <c r="AA87" s="205">
        <f t="shared" ref="AA87:BN87" si="49">SUM(AA88)</f>
        <v>317780</v>
      </c>
      <c r="AB87" s="205">
        <f t="shared" si="49"/>
        <v>397545</v>
      </c>
      <c r="AC87" s="205">
        <f t="shared" si="49"/>
        <v>624291</v>
      </c>
      <c r="AD87" s="205">
        <f t="shared" si="49"/>
        <v>624291</v>
      </c>
      <c r="AE87" s="205">
        <f t="shared" si="49"/>
        <v>470900</v>
      </c>
      <c r="AF87" s="205">
        <f t="shared" si="49"/>
        <v>495106</v>
      </c>
      <c r="AG87" s="205">
        <f t="shared" si="49"/>
        <v>297964</v>
      </c>
      <c r="AH87" s="205">
        <f t="shared" si="49"/>
        <v>249978</v>
      </c>
      <c r="AI87" s="205">
        <f t="shared" si="49"/>
        <v>707704</v>
      </c>
      <c r="AJ87" s="205">
        <f t="shared" si="49"/>
        <v>759824</v>
      </c>
      <c r="AK87" s="205">
        <f t="shared" si="49"/>
        <v>296420</v>
      </c>
      <c r="AL87" s="205">
        <f t="shared" si="49"/>
        <v>209958</v>
      </c>
      <c r="AM87" s="205">
        <f t="shared" si="49"/>
        <v>432344</v>
      </c>
      <c r="AN87" s="205">
        <f t="shared" si="49"/>
        <v>308549</v>
      </c>
      <c r="AO87" s="205">
        <f t="shared" si="49"/>
        <v>0</v>
      </c>
      <c r="AP87" s="205">
        <f t="shared" si="49"/>
        <v>0</v>
      </c>
      <c r="AQ87" s="205">
        <f t="shared" si="49"/>
        <v>0</v>
      </c>
      <c r="AR87" s="205">
        <f t="shared" si="49"/>
        <v>0</v>
      </c>
      <c r="AS87" s="205">
        <f t="shared" si="49"/>
        <v>0</v>
      </c>
      <c r="AT87" s="205">
        <f t="shared" si="49"/>
        <v>0</v>
      </c>
      <c r="AU87" s="205">
        <f t="shared" si="49"/>
        <v>0</v>
      </c>
      <c r="AV87" s="205">
        <f t="shared" si="49"/>
        <v>0</v>
      </c>
      <c r="AW87" s="205">
        <f t="shared" si="49"/>
        <v>0</v>
      </c>
      <c r="AX87" s="205">
        <f t="shared" si="49"/>
        <v>0</v>
      </c>
      <c r="AY87" s="205">
        <f t="shared" si="49"/>
        <v>0</v>
      </c>
      <c r="AZ87" s="205">
        <f t="shared" si="49"/>
        <v>0</v>
      </c>
      <c r="BA87" s="205">
        <f t="shared" si="49"/>
        <v>0</v>
      </c>
      <c r="BB87" s="205">
        <f t="shared" si="49"/>
        <v>0</v>
      </c>
      <c r="BC87" s="205">
        <f t="shared" si="49"/>
        <v>0</v>
      </c>
      <c r="BD87" s="205">
        <f t="shared" si="49"/>
        <v>0</v>
      </c>
      <c r="BE87" s="205">
        <f t="shared" si="49"/>
        <v>0</v>
      </c>
      <c r="BF87" s="205">
        <f t="shared" si="49"/>
        <v>0</v>
      </c>
      <c r="BG87" s="205">
        <f t="shared" si="49"/>
        <v>0</v>
      </c>
      <c r="BH87" s="205">
        <f t="shared" si="49"/>
        <v>0</v>
      </c>
      <c r="BI87" s="205">
        <f t="shared" si="49"/>
        <v>0</v>
      </c>
      <c r="BJ87" s="205">
        <f t="shared" si="49"/>
        <v>0</v>
      </c>
      <c r="BK87" s="205">
        <f t="shared" si="49"/>
        <v>0</v>
      </c>
      <c r="BL87" s="205">
        <f t="shared" si="49"/>
        <v>0</v>
      </c>
      <c r="BM87" s="205">
        <f t="shared" si="49"/>
        <v>522003</v>
      </c>
      <c r="BN87" s="205">
        <f t="shared" si="49"/>
        <v>424057</v>
      </c>
      <c r="BO87" s="205">
        <f>SUM(BO88)</f>
        <v>1312832</v>
      </c>
      <c r="BP87" s="205">
        <f>SUM(BP88)</f>
        <v>1550000</v>
      </c>
    </row>
    <row r="88" spans="1:68" x14ac:dyDescent="0.2">
      <c r="A88" s="10"/>
      <c r="B88" s="21"/>
      <c r="C88" s="22" t="s">
        <v>71</v>
      </c>
      <c r="D88" s="23"/>
      <c r="E88" s="381">
        <f>SUMIF($G$2:$BP$2,E$2,($G88:$BP88))</f>
        <v>9546495</v>
      </c>
      <c r="F88" s="381">
        <f>SUMIF($G$2:$BP$2,F$2,($G88:$BP88))</f>
        <v>9579832</v>
      </c>
      <c r="G88" s="444">
        <v>539221</v>
      </c>
      <c r="H88" s="444">
        <f>2000+331315+170400+72000</f>
        <v>575715</v>
      </c>
      <c r="I88" s="444">
        <v>314360</v>
      </c>
      <c r="J88" s="444">
        <f>2500+175315+103200+54000</f>
        <v>335015</v>
      </c>
      <c r="K88" s="444">
        <v>435920</v>
      </c>
      <c r="L88" s="444">
        <f>2530+344784</f>
        <v>347314</v>
      </c>
      <c r="M88" s="444">
        <v>490056</v>
      </c>
      <c r="N88" s="444">
        <f>3520+756211-35000</f>
        <v>724731</v>
      </c>
      <c r="O88" s="444">
        <v>477800</v>
      </c>
      <c r="P88" s="444">
        <f>250+505248+35000</f>
        <v>540498</v>
      </c>
      <c r="Q88" s="444">
        <v>519568</v>
      </c>
      <c r="R88" s="444">
        <f>4000+577162</f>
        <v>581162</v>
      </c>
      <c r="S88" s="444">
        <v>558080</v>
      </c>
      <c r="T88" s="444">
        <f>4000+552720</f>
        <v>556720</v>
      </c>
      <c r="U88" s="444">
        <v>433960</v>
      </c>
      <c r="V88" s="444">
        <f>2000+349862-42000</f>
        <v>309862</v>
      </c>
      <c r="W88" s="444">
        <v>465212</v>
      </c>
      <c r="X88" s="444">
        <f>2010+356371</f>
        <v>358381</v>
      </c>
      <c r="Y88" s="444">
        <v>330080</v>
      </c>
      <c r="Z88" s="444">
        <f>1200+177926+52000</f>
        <v>231126</v>
      </c>
      <c r="AA88" s="444">
        <v>317780</v>
      </c>
      <c r="AB88" s="444">
        <f>3500+314045+80000</f>
        <v>397545</v>
      </c>
      <c r="AC88" s="224">
        <f>622291+2000</f>
        <v>624291</v>
      </c>
      <c r="AD88" s="224">
        <f>622291+2000</f>
        <v>624291</v>
      </c>
      <c r="AE88" s="440">
        <v>470900</v>
      </c>
      <c r="AF88" s="440">
        <f>3500+491606</f>
        <v>495106</v>
      </c>
      <c r="AG88" s="440">
        <v>297964</v>
      </c>
      <c r="AH88" s="440">
        <f>500+181478+68000</f>
        <v>249978</v>
      </c>
      <c r="AI88" s="444">
        <v>707704</v>
      </c>
      <c r="AJ88" s="444">
        <f>2000+757824</f>
        <v>759824</v>
      </c>
      <c r="AK88" s="440">
        <v>296420</v>
      </c>
      <c r="AL88" s="440">
        <f>2100+178858+29000</f>
        <v>209958</v>
      </c>
      <c r="AM88" s="444">
        <v>432344</v>
      </c>
      <c r="AN88" s="444">
        <f>3000+305549</f>
        <v>308549</v>
      </c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444">
        <v>522003</v>
      </c>
      <c r="BN88" s="444">
        <f>3500+420557</f>
        <v>424057</v>
      </c>
      <c r="BO88" s="444">
        <v>1312832</v>
      </c>
      <c r="BP88" s="444">
        <v>1550000</v>
      </c>
    </row>
    <row r="89" spans="1:68" x14ac:dyDescent="0.2">
      <c r="A89" s="145"/>
      <c r="B89" s="146"/>
      <c r="C89" s="147"/>
      <c r="D89" s="148" t="s">
        <v>141</v>
      </c>
      <c r="E89" s="211">
        <f>SUM(E3,E16,E56,E58,E83,E85,E87)</f>
        <v>69491752.710255489</v>
      </c>
      <c r="F89" s="211">
        <f>SUM(F3,F16,F56,F58,F83,F85,F87)</f>
        <v>76778957.334589019</v>
      </c>
      <c r="G89" s="211">
        <f>SUM(G3,G16,G56,G58,G83,G85,G87)</f>
        <v>4506806.6432093997</v>
      </c>
      <c r="H89" s="211">
        <f>SUM(H3,H16,H56,H58,H83,H85,H87)</f>
        <v>4759339.2</v>
      </c>
      <c r="I89" s="211">
        <f t="shared" ref="I89:Z89" si="50">SUM(I3,I16,I56,I58,I83,I85,I87)</f>
        <v>2425171</v>
      </c>
      <c r="J89" s="211">
        <f>SUM(J3,J16,J56,J58,J83,J85,J87)</f>
        <v>2775926.2</v>
      </c>
      <c r="K89" s="211">
        <f t="shared" si="50"/>
        <v>2942901</v>
      </c>
      <c r="L89" s="211">
        <f t="shared" si="50"/>
        <v>3220857.2</v>
      </c>
      <c r="M89" s="211">
        <f t="shared" si="50"/>
        <v>4721927</v>
      </c>
      <c r="N89" s="211">
        <f t="shared" si="50"/>
        <v>5369803.7999999998</v>
      </c>
      <c r="O89" s="211">
        <f t="shared" si="50"/>
        <v>2630119.5024570748</v>
      </c>
      <c r="P89" s="211">
        <f t="shared" si="50"/>
        <v>3028436.4</v>
      </c>
      <c r="Q89" s="211">
        <f t="shared" si="50"/>
        <v>3890061</v>
      </c>
      <c r="R89" s="211">
        <f t="shared" si="50"/>
        <v>4233653.2</v>
      </c>
      <c r="S89" s="211">
        <f t="shared" si="50"/>
        <v>3708555</v>
      </c>
      <c r="T89" s="211">
        <f t="shared" si="50"/>
        <v>4165899.4</v>
      </c>
      <c r="U89" s="211">
        <f t="shared" si="50"/>
        <v>3903117.83</v>
      </c>
      <c r="V89" s="211">
        <f t="shared" si="50"/>
        <v>4215588.5999999996</v>
      </c>
      <c r="W89" s="211">
        <f t="shared" si="50"/>
        <v>2777359</v>
      </c>
      <c r="X89" s="211">
        <f t="shared" si="50"/>
        <v>2988606.4</v>
      </c>
      <c r="Y89" s="211">
        <f t="shared" si="50"/>
        <v>2734318</v>
      </c>
      <c r="Z89" s="211">
        <f t="shared" si="50"/>
        <v>2921877.8</v>
      </c>
      <c r="AA89" s="211">
        <f t="shared" ref="AA89:BN89" si="51">SUM(AA3,AA16,AA56,AA58,AA83,AA85,AA87)</f>
        <v>2120813</v>
      </c>
      <c r="AB89" s="211">
        <f t="shared" si="51"/>
        <v>2543630.2000000002</v>
      </c>
      <c r="AC89" s="211">
        <f t="shared" si="51"/>
        <v>4568421</v>
      </c>
      <c r="AD89" s="211">
        <f t="shared" si="51"/>
        <v>4843836.2</v>
      </c>
      <c r="AE89" s="211">
        <f t="shared" si="51"/>
        <v>3378569</v>
      </c>
      <c r="AF89" s="211">
        <f t="shared" si="51"/>
        <v>3729670.6</v>
      </c>
      <c r="AG89" s="211">
        <f t="shared" si="51"/>
        <v>2758278.21</v>
      </c>
      <c r="AH89" s="211">
        <f t="shared" si="51"/>
        <v>2964816.8</v>
      </c>
      <c r="AI89" s="211">
        <f t="shared" si="51"/>
        <v>5333594.59</v>
      </c>
      <c r="AJ89" s="211">
        <f t="shared" si="51"/>
        <v>5928430.5999999996</v>
      </c>
      <c r="AK89" s="211">
        <f t="shared" si="51"/>
        <v>2705368.9345890144</v>
      </c>
      <c r="AL89" s="211">
        <f t="shared" si="51"/>
        <v>2812119.9345890144</v>
      </c>
      <c r="AM89" s="211">
        <f t="shared" si="51"/>
        <v>3269389</v>
      </c>
      <c r="AN89" s="211">
        <f t="shared" si="51"/>
        <v>3429538</v>
      </c>
      <c r="AO89" s="211">
        <f t="shared" si="51"/>
        <v>0</v>
      </c>
      <c r="AP89" s="211">
        <f t="shared" si="51"/>
        <v>0</v>
      </c>
      <c r="AQ89" s="211">
        <f t="shared" si="51"/>
        <v>0</v>
      </c>
      <c r="AR89" s="211">
        <f t="shared" si="51"/>
        <v>0</v>
      </c>
      <c r="AS89" s="211">
        <f t="shared" si="51"/>
        <v>0</v>
      </c>
      <c r="AT89" s="211">
        <f t="shared" si="51"/>
        <v>0</v>
      </c>
      <c r="AU89" s="211">
        <f t="shared" si="51"/>
        <v>0</v>
      </c>
      <c r="AV89" s="211">
        <f t="shared" si="51"/>
        <v>0</v>
      </c>
      <c r="AW89" s="211">
        <f t="shared" si="51"/>
        <v>0</v>
      </c>
      <c r="AX89" s="211">
        <f t="shared" si="51"/>
        <v>0</v>
      </c>
      <c r="AY89" s="211">
        <f t="shared" si="51"/>
        <v>0</v>
      </c>
      <c r="AZ89" s="211">
        <f t="shared" si="51"/>
        <v>0</v>
      </c>
      <c r="BA89" s="211">
        <f t="shared" si="51"/>
        <v>0</v>
      </c>
      <c r="BB89" s="211">
        <f t="shared" si="51"/>
        <v>0</v>
      </c>
      <c r="BC89" s="211">
        <f t="shared" si="51"/>
        <v>0</v>
      </c>
      <c r="BD89" s="211">
        <f t="shared" si="51"/>
        <v>0</v>
      </c>
      <c r="BE89" s="211">
        <f t="shared" si="51"/>
        <v>0</v>
      </c>
      <c r="BF89" s="211">
        <f t="shared" si="51"/>
        <v>0</v>
      </c>
      <c r="BG89" s="211">
        <f t="shared" si="51"/>
        <v>0</v>
      </c>
      <c r="BH89" s="211">
        <f t="shared" si="51"/>
        <v>0</v>
      </c>
      <c r="BI89" s="211">
        <f t="shared" si="51"/>
        <v>0</v>
      </c>
      <c r="BJ89" s="211">
        <f t="shared" si="51"/>
        <v>0</v>
      </c>
      <c r="BK89" s="211">
        <f t="shared" si="51"/>
        <v>0</v>
      </c>
      <c r="BL89" s="211">
        <f t="shared" si="51"/>
        <v>1042336</v>
      </c>
      <c r="BM89" s="211">
        <f t="shared" si="51"/>
        <v>4031385</v>
      </c>
      <c r="BN89" s="211">
        <f t="shared" si="51"/>
        <v>4322916.4000000004</v>
      </c>
      <c r="BO89" s="211">
        <f>SUM(BO3,BO16,BO56,BO58,BO83,BO85,BO87)</f>
        <v>7085598</v>
      </c>
      <c r="BP89" s="211">
        <f>SUM(BP3,BP16,BP56,BP58,BP83,BP85,BP87)</f>
        <v>7481674.4000000004</v>
      </c>
    </row>
    <row r="90" spans="1:68" s="2" customFormat="1" ht="18" x14ac:dyDescent="0.25">
      <c r="A90" s="225" t="s">
        <v>72</v>
      </c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  <c r="AN90" s="225"/>
      <c r="AO90" s="225"/>
      <c r="AP90" s="225"/>
      <c r="AQ90" s="225"/>
      <c r="AR90" s="225"/>
      <c r="AS90" s="225"/>
      <c r="AT90" s="225"/>
      <c r="AU90" s="225"/>
      <c r="AV90" s="225"/>
      <c r="AW90" s="225"/>
      <c r="AX90" s="225"/>
      <c r="AY90" s="225"/>
      <c r="AZ90" s="225"/>
      <c r="BA90" s="225"/>
      <c r="BB90" s="225"/>
      <c r="BC90" s="225"/>
      <c r="BD90" s="225"/>
      <c r="BE90" s="225"/>
      <c r="BF90" s="225"/>
      <c r="BG90" s="225"/>
      <c r="BH90" s="225"/>
      <c r="BI90" s="225"/>
      <c r="BJ90" s="225"/>
      <c r="BK90" s="225"/>
      <c r="BL90" s="225"/>
      <c r="BM90" s="225"/>
      <c r="BN90" s="225"/>
      <c r="BO90" s="225"/>
      <c r="BP90" s="225"/>
    </row>
    <row r="91" spans="1:68" x14ac:dyDescent="0.2">
      <c r="A91" s="149">
        <v>1</v>
      </c>
      <c r="B91" s="150" t="s">
        <v>13</v>
      </c>
      <c r="C91" s="150"/>
      <c r="D91" s="151"/>
      <c r="E91" s="152">
        <f>SUM(E92,E102)</f>
        <v>54286396</v>
      </c>
      <c r="F91" s="152">
        <f>SUM(F92,F102)</f>
        <v>56292878.879999995</v>
      </c>
      <c r="G91" s="152">
        <f>SUM(G92,G102)</f>
        <v>3486804</v>
      </c>
      <c r="H91" s="152">
        <f>SUM(H92,H102)</f>
        <v>3664732.1600000001</v>
      </c>
      <c r="I91" s="152">
        <f t="shared" ref="I91:Z91" si="52">SUM(I92,I102)</f>
        <v>1892544</v>
      </c>
      <c r="J91" s="152">
        <f t="shared" si="52"/>
        <v>1969940.16</v>
      </c>
      <c r="K91" s="152">
        <f t="shared" si="52"/>
        <v>2201076</v>
      </c>
      <c r="L91" s="152">
        <f t="shared" si="52"/>
        <v>2256326.4</v>
      </c>
      <c r="M91" s="152">
        <f t="shared" si="52"/>
        <v>3763224</v>
      </c>
      <c r="N91" s="152">
        <f t="shared" si="52"/>
        <v>3935494.56</v>
      </c>
      <c r="O91" s="152">
        <f t="shared" si="52"/>
        <v>2404430</v>
      </c>
      <c r="P91" s="152">
        <f t="shared" si="52"/>
        <v>2502916.7999999998</v>
      </c>
      <c r="Q91" s="152">
        <f t="shared" si="52"/>
        <v>3083602</v>
      </c>
      <c r="R91" s="152">
        <f t="shared" si="52"/>
        <v>3179210.88</v>
      </c>
      <c r="S91" s="152">
        <f t="shared" si="52"/>
        <v>2836878</v>
      </c>
      <c r="T91" s="152">
        <f t="shared" si="52"/>
        <v>2996878.4</v>
      </c>
      <c r="U91" s="152">
        <f t="shared" si="52"/>
        <v>2979018</v>
      </c>
      <c r="V91" s="152">
        <f t="shared" si="52"/>
        <v>3041849.12</v>
      </c>
      <c r="W91" s="152">
        <f t="shared" si="52"/>
        <v>2097854</v>
      </c>
      <c r="X91" s="152">
        <f t="shared" si="52"/>
        <v>1953028.16</v>
      </c>
      <c r="Y91" s="152">
        <f t="shared" si="52"/>
        <v>2066978</v>
      </c>
      <c r="Z91" s="152">
        <f t="shared" si="52"/>
        <v>2155799.52</v>
      </c>
      <c r="AA91" s="152">
        <f t="shared" ref="AA91:BN91" si="53">SUM(AA92,AA102)</f>
        <v>1899816</v>
      </c>
      <c r="AB91" s="152">
        <f t="shared" si="53"/>
        <v>1979502.24</v>
      </c>
      <c r="AC91" s="152">
        <f t="shared" si="53"/>
        <v>3356104</v>
      </c>
      <c r="AD91" s="152">
        <f t="shared" si="53"/>
        <v>3516596.96</v>
      </c>
      <c r="AE91" s="152">
        <f t="shared" si="53"/>
        <v>2698598</v>
      </c>
      <c r="AF91" s="152">
        <f t="shared" si="53"/>
        <v>2794648.3200000003</v>
      </c>
      <c r="AG91" s="152">
        <f t="shared" si="53"/>
        <v>2269110</v>
      </c>
      <c r="AH91" s="152">
        <f t="shared" si="53"/>
        <v>2335579.2000000002</v>
      </c>
      <c r="AI91" s="152">
        <f t="shared" si="53"/>
        <v>4206946</v>
      </c>
      <c r="AJ91" s="152">
        <f t="shared" si="53"/>
        <v>4393884.24</v>
      </c>
      <c r="AK91" s="152">
        <f t="shared" si="53"/>
        <v>2209792</v>
      </c>
      <c r="AL91" s="152">
        <f t="shared" si="53"/>
        <v>2289254.48</v>
      </c>
      <c r="AM91" s="152">
        <f t="shared" si="53"/>
        <v>2213976</v>
      </c>
      <c r="AN91" s="152">
        <f t="shared" si="53"/>
        <v>2321790.2400000002</v>
      </c>
      <c r="AO91" s="152">
        <f t="shared" si="53"/>
        <v>0</v>
      </c>
      <c r="AP91" s="152">
        <f t="shared" si="53"/>
        <v>0</v>
      </c>
      <c r="AQ91" s="152">
        <f t="shared" si="53"/>
        <v>0</v>
      </c>
      <c r="AR91" s="152">
        <f t="shared" si="53"/>
        <v>0</v>
      </c>
      <c r="AS91" s="152">
        <f t="shared" si="53"/>
        <v>0</v>
      </c>
      <c r="AT91" s="152">
        <f t="shared" si="53"/>
        <v>0</v>
      </c>
      <c r="AU91" s="152">
        <f t="shared" si="53"/>
        <v>0</v>
      </c>
      <c r="AV91" s="152">
        <f t="shared" si="53"/>
        <v>0</v>
      </c>
      <c r="AW91" s="152">
        <f t="shared" si="53"/>
        <v>0</v>
      </c>
      <c r="AX91" s="152">
        <f t="shared" si="53"/>
        <v>0</v>
      </c>
      <c r="AY91" s="152">
        <f t="shared" si="53"/>
        <v>0</v>
      </c>
      <c r="AZ91" s="152">
        <f t="shared" si="53"/>
        <v>0</v>
      </c>
      <c r="BA91" s="152">
        <f t="shared" si="53"/>
        <v>0</v>
      </c>
      <c r="BB91" s="152">
        <f t="shared" si="53"/>
        <v>0</v>
      </c>
      <c r="BC91" s="152">
        <f t="shared" si="53"/>
        <v>0</v>
      </c>
      <c r="BD91" s="152">
        <f t="shared" si="53"/>
        <v>0</v>
      </c>
      <c r="BE91" s="152">
        <f t="shared" si="53"/>
        <v>0</v>
      </c>
      <c r="BF91" s="152">
        <f t="shared" si="53"/>
        <v>0</v>
      </c>
      <c r="BG91" s="152">
        <f t="shared" si="53"/>
        <v>0</v>
      </c>
      <c r="BH91" s="152">
        <f t="shared" si="53"/>
        <v>0</v>
      </c>
      <c r="BI91" s="152">
        <f t="shared" si="53"/>
        <v>0</v>
      </c>
      <c r="BJ91" s="152">
        <f t="shared" si="53"/>
        <v>0</v>
      </c>
      <c r="BK91" s="152">
        <f t="shared" si="53"/>
        <v>0</v>
      </c>
      <c r="BL91" s="152">
        <f t="shared" si="53"/>
        <v>0</v>
      </c>
      <c r="BM91" s="152">
        <f t="shared" si="53"/>
        <v>3127216</v>
      </c>
      <c r="BN91" s="152">
        <f t="shared" si="53"/>
        <v>3213515.04</v>
      </c>
      <c r="BO91" s="152">
        <f>SUM(BO92,BO102)</f>
        <v>5492430</v>
      </c>
      <c r="BP91" s="152">
        <f>SUM(BP92,BP102)</f>
        <v>5791932</v>
      </c>
    </row>
    <row r="92" spans="1:68" x14ac:dyDescent="0.2">
      <c r="A92" s="183"/>
      <c r="B92" s="220">
        <v>1.1000000000000001</v>
      </c>
      <c r="C92" s="184" t="s">
        <v>838</v>
      </c>
      <c r="D92" s="184"/>
      <c r="E92" s="185">
        <f>SUM(E93:E101)</f>
        <v>40350060</v>
      </c>
      <c r="F92" s="185">
        <f>SUM(F93:F101)</f>
        <v>42539458.399999999</v>
      </c>
      <c r="G92" s="185">
        <f>SUM(G93:G101)</f>
        <v>2695920</v>
      </c>
      <c r="H92" s="185">
        <f>SUM(H93:H101)</f>
        <v>2840251.2</v>
      </c>
      <c r="I92" s="185">
        <f t="shared" ref="I92:Z92" si="54">SUM(I93:I101)</f>
        <v>1277520</v>
      </c>
      <c r="J92" s="185">
        <f t="shared" si="54"/>
        <v>1347259.2</v>
      </c>
      <c r="K92" s="185">
        <f t="shared" si="54"/>
        <v>1530720</v>
      </c>
      <c r="L92" s="185">
        <f t="shared" si="54"/>
        <v>1613203.2</v>
      </c>
      <c r="M92" s="185">
        <f t="shared" si="54"/>
        <v>2767080</v>
      </c>
      <c r="N92" s="185">
        <f t="shared" si="54"/>
        <v>2915392.8</v>
      </c>
      <c r="O92" s="185">
        <f t="shared" si="54"/>
        <v>1601640</v>
      </c>
      <c r="P92" s="185">
        <f t="shared" si="54"/>
        <v>1687946.4</v>
      </c>
      <c r="Q92" s="185">
        <f t="shared" si="54"/>
        <v>2276520</v>
      </c>
      <c r="R92" s="185">
        <f t="shared" si="54"/>
        <v>2395111.2000000002</v>
      </c>
      <c r="S92" s="185">
        <f t="shared" si="54"/>
        <v>2078040</v>
      </c>
      <c r="T92" s="185">
        <f t="shared" si="54"/>
        <v>2191922.4</v>
      </c>
      <c r="U92" s="185">
        <f t="shared" si="54"/>
        <v>2333760</v>
      </c>
      <c r="V92" s="185">
        <f t="shared" si="54"/>
        <v>2456073.6</v>
      </c>
      <c r="W92" s="185">
        <f t="shared" si="54"/>
        <v>1274040</v>
      </c>
      <c r="X92" s="185">
        <f t="shared" si="54"/>
        <v>1336658.3999999999</v>
      </c>
      <c r="Y92" s="185">
        <f t="shared" si="54"/>
        <v>1585680</v>
      </c>
      <c r="Z92" s="185">
        <f t="shared" si="54"/>
        <v>1673116.8</v>
      </c>
      <c r="AA92" s="185">
        <f t="shared" ref="AA92:BN92" si="55">SUM(AA93:AA101)</f>
        <v>1253520</v>
      </c>
      <c r="AB92" s="185">
        <f t="shared" si="55"/>
        <v>1326235.2</v>
      </c>
      <c r="AC92" s="185">
        <f t="shared" si="55"/>
        <v>2524920</v>
      </c>
      <c r="AD92" s="185">
        <f t="shared" si="55"/>
        <v>2660791.2000000002</v>
      </c>
      <c r="AE92" s="185">
        <f t="shared" si="55"/>
        <v>1916160</v>
      </c>
      <c r="AF92" s="185">
        <f t="shared" si="55"/>
        <v>2059521.6</v>
      </c>
      <c r="AG92" s="185">
        <f t="shared" si="55"/>
        <v>1816080</v>
      </c>
      <c r="AH92" s="185">
        <f t="shared" si="55"/>
        <v>1916188.8</v>
      </c>
      <c r="AI92" s="185">
        <f t="shared" si="55"/>
        <v>3111060</v>
      </c>
      <c r="AJ92" s="185">
        <f t="shared" si="55"/>
        <v>3294363.6</v>
      </c>
      <c r="AK92" s="185">
        <f t="shared" si="55"/>
        <v>1768920</v>
      </c>
      <c r="AL92" s="185">
        <f t="shared" si="55"/>
        <v>1810634</v>
      </c>
      <c r="AM92" s="185">
        <f t="shared" si="55"/>
        <v>1638600</v>
      </c>
      <c r="AN92" s="185">
        <f t="shared" si="55"/>
        <v>1727124</v>
      </c>
      <c r="AO92" s="185">
        <f t="shared" si="55"/>
        <v>0</v>
      </c>
      <c r="AP92" s="185">
        <f t="shared" si="55"/>
        <v>0</v>
      </c>
      <c r="AQ92" s="185">
        <f t="shared" si="55"/>
        <v>0</v>
      </c>
      <c r="AR92" s="185">
        <f t="shared" si="55"/>
        <v>0</v>
      </c>
      <c r="AS92" s="185">
        <f t="shared" si="55"/>
        <v>0</v>
      </c>
      <c r="AT92" s="185">
        <f t="shared" si="55"/>
        <v>0</v>
      </c>
      <c r="AU92" s="185">
        <f t="shared" si="55"/>
        <v>0</v>
      </c>
      <c r="AV92" s="185">
        <f t="shared" si="55"/>
        <v>0</v>
      </c>
      <c r="AW92" s="185">
        <f t="shared" si="55"/>
        <v>0</v>
      </c>
      <c r="AX92" s="185">
        <f t="shared" si="55"/>
        <v>0</v>
      </c>
      <c r="AY92" s="185">
        <f t="shared" si="55"/>
        <v>0</v>
      </c>
      <c r="AZ92" s="185">
        <f t="shared" si="55"/>
        <v>0</v>
      </c>
      <c r="BA92" s="185">
        <f t="shared" si="55"/>
        <v>0</v>
      </c>
      <c r="BB92" s="185">
        <f t="shared" si="55"/>
        <v>0</v>
      </c>
      <c r="BC92" s="185">
        <f t="shared" si="55"/>
        <v>0</v>
      </c>
      <c r="BD92" s="185">
        <f t="shared" si="55"/>
        <v>0</v>
      </c>
      <c r="BE92" s="185">
        <f t="shared" si="55"/>
        <v>0</v>
      </c>
      <c r="BF92" s="185">
        <f t="shared" si="55"/>
        <v>0</v>
      </c>
      <c r="BG92" s="185">
        <f t="shared" si="55"/>
        <v>0</v>
      </c>
      <c r="BH92" s="185">
        <f t="shared" si="55"/>
        <v>0</v>
      </c>
      <c r="BI92" s="185">
        <f t="shared" si="55"/>
        <v>0</v>
      </c>
      <c r="BJ92" s="185">
        <f t="shared" si="55"/>
        <v>0</v>
      </c>
      <c r="BK92" s="185">
        <f t="shared" si="55"/>
        <v>0</v>
      </c>
      <c r="BL92" s="185">
        <f t="shared" si="55"/>
        <v>0</v>
      </c>
      <c r="BM92" s="185">
        <f t="shared" si="55"/>
        <v>2423640</v>
      </c>
      <c r="BN92" s="185">
        <f t="shared" si="55"/>
        <v>2552570.4</v>
      </c>
      <c r="BO92" s="185">
        <f>SUM(BO93:BO101)</f>
        <v>4476240</v>
      </c>
      <c r="BP92" s="185">
        <f>SUM(BP93:BP101)</f>
        <v>4735094.4000000004</v>
      </c>
    </row>
    <row r="93" spans="1:68" s="2" customFormat="1" x14ac:dyDescent="0.2">
      <c r="A93" s="10"/>
      <c r="B93" s="10"/>
      <c r="C93" s="387" t="s">
        <v>1168</v>
      </c>
      <c r="D93" s="7"/>
      <c r="E93" s="381">
        <f t="shared" ref="E93:F101" si="56">SUMIF($G$2:$BP$2,E$2,($G93:$BP93))</f>
        <v>36173760</v>
      </c>
      <c r="F93" s="381">
        <f t="shared" si="56"/>
        <v>38288620.399999999</v>
      </c>
      <c r="G93" s="440">
        <f>G5</f>
        <v>2405520</v>
      </c>
      <c r="H93" s="440">
        <f t="shared" ref="H93:U97" si="57">H5</f>
        <v>2549851.2000000002</v>
      </c>
      <c r="I93" s="440">
        <f t="shared" si="57"/>
        <v>1162320</v>
      </c>
      <c r="J93" s="440">
        <f t="shared" si="57"/>
        <v>1232059.2</v>
      </c>
      <c r="K93" s="440">
        <f t="shared" si="57"/>
        <v>1374720</v>
      </c>
      <c r="L93" s="440">
        <f t="shared" si="57"/>
        <v>1457203.2</v>
      </c>
      <c r="M93" s="440">
        <f t="shared" si="57"/>
        <v>2471880</v>
      </c>
      <c r="N93" s="440">
        <f t="shared" si="57"/>
        <v>2620192.7999999998</v>
      </c>
      <c r="O93" s="440">
        <f t="shared" si="57"/>
        <v>1438440</v>
      </c>
      <c r="P93" s="440">
        <f t="shared" si="57"/>
        <v>1524746.4</v>
      </c>
      <c r="Q93" s="440">
        <f t="shared" si="57"/>
        <v>1976520</v>
      </c>
      <c r="R93" s="440">
        <f t="shared" si="57"/>
        <v>2095111.2</v>
      </c>
      <c r="S93" s="440">
        <f t="shared" si="57"/>
        <v>1898040</v>
      </c>
      <c r="T93" s="440">
        <f t="shared" si="57"/>
        <v>2011922.4</v>
      </c>
      <c r="U93" s="440">
        <f t="shared" si="57"/>
        <v>2038560</v>
      </c>
      <c r="V93" s="440">
        <f t="shared" ref="U93:AD101" si="58">V5</f>
        <v>2160873.6</v>
      </c>
      <c r="W93" s="440">
        <f t="shared" si="58"/>
        <v>1043640</v>
      </c>
      <c r="X93" s="440">
        <f t="shared" si="58"/>
        <v>1106258.3999999999</v>
      </c>
      <c r="Y93" s="440">
        <f t="shared" si="58"/>
        <v>1457280</v>
      </c>
      <c r="Z93" s="440">
        <f t="shared" si="58"/>
        <v>1544716.8</v>
      </c>
      <c r="AA93" s="440">
        <f t="shared" si="58"/>
        <v>1111920</v>
      </c>
      <c r="AB93" s="440">
        <f t="shared" si="58"/>
        <v>1178635.2</v>
      </c>
      <c r="AC93" s="440">
        <f t="shared" si="58"/>
        <v>2264520</v>
      </c>
      <c r="AD93" s="440">
        <f t="shared" si="58"/>
        <v>2400391.2000000002</v>
      </c>
      <c r="AE93" s="440">
        <f t="shared" ref="AE93:AF101" si="59">AE5</f>
        <v>1689360</v>
      </c>
      <c r="AF93" s="440">
        <f t="shared" si="59"/>
        <v>1790721.6</v>
      </c>
      <c r="AG93" s="440">
        <f t="shared" ref="AG93:AJ101" si="60">AG5</f>
        <v>1668480</v>
      </c>
      <c r="AH93" s="440">
        <f t="shared" si="60"/>
        <v>1768588.8</v>
      </c>
      <c r="AI93" s="440">
        <f t="shared" si="60"/>
        <v>2612760</v>
      </c>
      <c r="AJ93" s="440">
        <f t="shared" si="60"/>
        <v>2769525.6</v>
      </c>
      <c r="AK93" s="440">
        <f t="shared" ref="AK93:AN101" si="61">AK5</f>
        <v>1621320</v>
      </c>
      <c r="AL93" s="440">
        <f t="shared" si="61"/>
        <v>1663034</v>
      </c>
      <c r="AM93" s="440">
        <f t="shared" si="61"/>
        <v>1475400</v>
      </c>
      <c r="AN93" s="440">
        <f t="shared" si="61"/>
        <v>1563924</v>
      </c>
      <c r="AO93" s="381"/>
      <c r="AP93" s="381"/>
      <c r="AQ93" s="381"/>
      <c r="AR93" s="381"/>
      <c r="AS93" s="381"/>
      <c r="AT93" s="381"/>
      <c r="AU93" s="381"/>
      <c r="AV93" s="381"/>
      <c r="AW93" s="381"/>
      <c r="AX93" s="381"/>
      <c r="AY93" s="381"/>
      <c r="AZ93" s="381"/>
      <c r="BA93" s="381"/>
      <c r="BB93" s="381"/>
      <c r="BC93" s="381"/>
      <c r="BD93" s="381"/>
      <c r="BE93" s="381"/>
      <c r="BF93" s="381"/>
      <c r="BG93" s="381"/>
      <c r="BH93" s="381"/>
      <c r="BI93" s="381"/>
      <c r="BJ93" s="381"/>
      <c r="BK93" s="440">
        <f t="shared" ref="BK93:BN101" si="62">BK5</f>
        <v>0</v>
      </c>
      <c r="BL93" s="440">
        <f t="shared" si="62"/>
        <v>0</v>
      </c>
      <c r="BM93" s="440">
        <f t="shared" si="62"/>
        <v>2148840</v>
      </c>
      <c r="BN93" s="440">
        <f t="shared" si="62"/>
        <v>2277770.4</v>
      </c>
      <c r="BO93" s="440">
        <f t="shared" ref="BO93:BP101" si="63">BO5</f>
        <v>4314240</v>
      </c>
      <c r="BP93" s="440">
        <f t="shared" si="63"/>
        <v>4573094.4000000004</v>
      </c>
    </row>
    <row r="94" spans="1:68" x14ac:dyDescent="0.2">
      <c r="A94" s="10"/>
      <c r="B94" s="10"/>
      <c r="C94" s="387" t="s">
        <v>53</v>
      </c>
      <c r="D94" s="7"/>
      <c r="E94" s="381">
        <f t="shared" si="56"/>
        <v>924000</v>
      </c>
      <c r="F94" s="381">
        <f t="shared" si="56"/>
        <v>966000</v>
      </c>
      <c r="G94" s="440">
        <f t="shared" ref="G94:T101" si="64">G6</f>
        <v>84000</v>
      </c>
      <c r="H94" s="440">
        <f t="shared" si="64"/>
        <v>84000</v>
      </c>
      <c r="I94" s="440">
        <f t="shared" si="57"/>
        <v>0</v>
      </c>
      <c r="J94" s="440">
        <f t="shared" si="57"/>
        <v>0</v>
      </c>
      <c r="K94" s="440">
        <f t="shared" si="57"/>
        <v>42000</v>
      </c>
      <c r="L94" s="440">
        <f t="shared" si="57"/>
        <v>42000</v>
      </c>
      <c r="M94" s="440">
        <f t="shared" si="57"/>
        <v>84000</v>
      </c>
      <c r="N94" s="440">
        <f t="shared" si="57"/>
        <v>84000</v>
      </c>
      <c r="O94" s="440">
        <f t="shared" si="57"/>
        <v>42000</v>
      </c>
      <c r="P94" s="440">
        <f t="shared" si="57"/>
        <v>42000</v>
      </c>
      <c r="Q94" s="440">
        <f t="shared" si="57"/>
        <v>42000</v>
      </c>
      <c r="R94" s="440">
        <f t="shared" si="57"/>
        <v>42000</v>
      </c>
      <c r="S94" s="440">
        <f t="shared" si="57"/>
        <v>0</v>
      </c>
      <c r="T94" s="440">
        <f t="shared" si="57"/>
        <v>0</v>
      </c>
      <c r="U94" s="440">
        <f t="shared" si="58"/>
        <v>84000</v>
      </c>
      <c r="V94" s="440">
        <f t="shared" si="58"/>
        <v>84000</v>
      </c>
      <c r="W94" s="440">
        <f t="shared" si="58"/>
        <v>42000</v>
      </c>
      <c r="X94" s="440">
        <f t="shared" si="58"/>
        <v>42000</v>
      </c>
      <c r="Y94" s="440">
        <f t="shared" si="58"/>
        <v>0</v>
      </c>
      <c r="Z94" s="440">
        <f t="shared" si="58"/>
        <v>0</v>
      </c>
      <c r="AA94" s="440">
        <f t="shared" si="58"/>
        <v>42000</v>
      </c>
      <c r="AB94" s="440">
        <f t="shared" si="58"/>
        <v>42000</v>
      </c>
      <c r="AC94" s="440">
        <f t="shared" si="58"/>
        <v>42000</v>
      </c>
      <c r="AD94" s="440">
        <f t="shared" si="58"/>
        <v>42000</v>
      </c>
      <c r="AE94" s="440">
        <f t="shared" si="59"/>
        <v>42000</v>
      </c>
      <c r="AF94" s="440">
        <f t="shared" si="59"/>
        <v>84000</v>
      </c>
      <c r="AG94" s="440">
        <f t="shared" si="60"/>
        <v>42000</v>
      </c>
      <c r="AH94" s="440">
        <f t="shared" si="60"/>
        <v>42000</v>
      </c>
      <c r="AI94" s="440">
        <f t="shared" si="60"/>
        <v>42000</v>
      </c>
      <c r="AJ94" s="440">
        <f t="shared" si="60"/>
        <v>42000</v>
      </c>
      <c r="AK94" s="440">
        <f t="shared" si="61"/>
        <v>42000</v>
      </c>
      <c r="AL94" s="440">
        <f t="shared" si="61"/>
        <v>42000</v>
      </c>
      <c r="AM94" s="440">
        <f t="shared" si="61"/>
        <v>42000</v>
      </c>
      <c r="AN94" s="440">
        <f t="shared" si="61"/>
        <v>42000</v>
      </c>
      <c r="AO94" s="381"/>
      <c r="AP94" s="381"/>
      <c r="AQ94" s="381"/>
      <c r="AR94" s="381"/>
      <c r="AS94" s="381"/>
      <c r="AT94" s="381"/>
      <c r="AU94" s="381"/>
      <c r="AV94" s="381"/>
      <c r="AW94" s="381"/>
      <c r="AX94" s="381"/>
      <c r="AY94" s="381"/>
      <c r="AZ94" s="381"/>
      <c r="BA94" s="381"/>
      <c r="BB94" s="381"/>
      <c r="BC94" s="381"/>
      <c r="BD94" s="381"/>
      <c r="BE94" s="381"/>
      <c r="BF94" s="381"/>
      <c r="BG94" s="381"/>
      <c r="BH94" s="381"/>
      <c r="BI94" s="381"/>
      <c r="BJ94" s="381"/>
      <c r="BK94" s="440">
        <f t="shared" si="62"/>
        <v>0</v>
      </c>
      <c r="BL94" s="440">
        <f t="shared" si="62"/>
        <v>0</v>
      </c>
      <c r="BM94" s="440">
        <f t="shared" si="62"/>
        <v>84000</v>
      </c>
      <c r="BN94" s="440">
        <f t="shared" si="62"/>
        <v>84000</v>
      </c>
      <c r="BO94" s="440">
        <f t="shared" si="63"/>
        <v>126000</v>
      </c>
      <c r="BP94" s="440">
        <f t="shared" si="63"/>
        <v>126000</v>
      </c>
    </row>
    <row r="95" spans="1:68" s="2" customFormat="1" x14ac:dyDescent="0.2">
      <c r="A95" s="10"/>
      <c r="B95" s="10"/>
      <c r="C95" s="387" t="s">
        <v>1167</v>
      </c>
      <c r="D95" s="7"/>
      <c r="E95" s="381">
        <f t="shared" si="56"/>
        <v>282300</v>
      </c>
      <c r="F95" s="381">
        <f t="shared" si="56"/>
        <v>299238</v>
      </c>
      <c r="G95" s="440">
        <f t="shared" si="64"/>
        <v>0</v>
      </c>
      <c r="H95" s="440">
        <f t="shared" si="57"/>
        <v>0</v>
      </c>
      <c r="I95" s="440">
        <f t="shared" si="57"/>
        <v>0</v>
      </c>
      <c r="J95" s="440">
        <f t="shared" si="57"/>
        <v>0</v>
      </c>
      <c r="K95" s="440">
        <f t="shared" si="57"/>
        <v>0</v>
      </c>
      <c r="L95" s="440">
        <f t="shared" si="57"/>
        <v>0</v>
      </c>
      <c r="M95" s="440">
        <f t="shared" si="57"/>
        <v>0</v>
      </c>
      <c r="N95" s="440">
        <f t="shared" si="57"/>
        <v>0</v>
      </c>
      <c r="O95" s="440">
        <f t="shared" si="57"/>
        <v>0</v>
      </c>
      <c r="P95" s="440">
        <f t="shared" si="57"/>
        <v>0</v>
      </c>
      <c r="Q95" s="440">
        <f t="shared" si="57"/>
        <v>0</v>
      </c>
      <c r="R95" s="440">
        <f t="shared" si="57"/>
        <v>0</v>
      </c>
      <c r="S95" s="440">
        <f t="shared" si="57"/>
        <v>0</v>
      </c>
      <c r="T95" s="440">
        <f t="shared" si="57"/>
        <v>0</v>
      </c>
      <c r="U95" s="440">
        <f t="shared" si="58"/>
        <v>0</v>
      </c>
      <c r="V95" s="440">
        <f t="shared" si="58"/>
        <v>0</v>
      </c>
      <c r="W95" s="440">
        <f t="shared" si="58"/>
        <v>0</v>
      </c>
      <c r="X95" s="440">
        <f t="shared" si="58"/>
        <v>0</v>
      </c>
      <c r="Y95" s="440">
        <f t="shared" si="58"/>
        <v>0</v>
      </c>
      <c r="Z95" s="440">
        <f t="shared" si="58"/>
        <v>0</v>
      </c>
      <c r="AA95" s="440">
        <f t="shared" si="58"/>
        <v>0</v>
      </c>
      <c r="AB95" s="440">
        <f t="shared" si="58"/>
        <v>0</v>
      </c>
      <c r="AC95" s="440">
        <f t="shared" si="58"/>
        <v>0</v>
      </c>
      <c r="AD95" s="440">
        <f t="shared" si="58"/>
        <v>0</v>
      </c>
      <c r="AE95" s="440">
        <f t="shared" si="59"/>
        <v>0</v>
      </c>
      <c r="AF95" s="440">
        <f t="shared" si="59"/>
        <v>0</v>
      </c>
      <c r="AG95" s="440">
        <f t="shared" si="60"/>
        <v>0</v>
      </c>
      <c r="AH95" s="440">
        <f t="shared" si="60"/>
        <v>0</v>
      </c>
      <c r="AI95" s="440">
        <f t="shared" si="60"/>
        <v>282300</v>
      </c>
      <c r="AJ95" s="440">
        <f t="shared" si="60"/>
        <v>299238</v>
      </c>
      <c r="AK95" s="440">
        <f t="shared" si="61"/>
        <v>0</v>
      </c>
      <c r="AL95" s="440">
        <f t="shared" si="61"/>
        <v>0</v>
      </c>
      <c r="AM95" s="440">
        <f t="shared" si="61"/>
        <v>0</v>
      </c>
      <c r="AN95" s="440">
        <f t="shared" si="61"/>
        <v>0</v>
      </c>
      <c r="AO95" s="381"/>
      <c r="AP95" s="381"/>
      <c r="AQ95" s="381"/>
      <c r="AR95" s="381"/>
      <c r="AS95" s="381"/>
      <c r="AT95" s="381"/>
      <c r="AU95" s="381"/>
      <c r="AV95" s="381"/>
      <c r="AW95" s="381"/>
      <c r="AX95" s="381"/>
      <c r="AY95" s="381"/>
      <c r="AZ95" s="381"/>
      <c r="BA95" s="381"/>
      <c r="BB95" s="381"/>
      <c r="BC95" s="381"/>
      <c r="BD95" s="381"/>
      <c r="BE95" s="381"/>
      <c r="BF95" s="381"/>
      <c r="BG95" s="381"/>
      <c r="BH95" s="381"/>
      <c r="BI95" s="381"/>
      <c r="BJ95" s="381"/>
      <c r="BK95" s="440">
        <f t="shared" si="62"/>
        <v>0</v>
      </c>
      <c r="BL95" s="440">
        <f t="shared" si="62"/>
        <v>0</v>
      </c>
      <c r="BM95" s="440">
        <f t="shared" si="62"/>
        <v>0</v>
      </c>
      <c r="BN95" s="440">
        <f t="shared" si="62"/>
        <v>0</v>
      </c>
      <c r="BO95" s="440">
        <f t="shared" si="63"/>
        <v>0</v>
      </c>
      <c r="BP95" s="440">
        <f t="shared" si="63"/>
        <v>0</v>
      </c>
    </row>
    <row r="96" spans="1:68" x14ac:dyDescent="0.2">
      <c r="A96" s="10"/>
      <c r="B96" s="10"/>
      <c r="C96" s="387" t="s">
        <v>1169</v>
      </c>
      <c r="D96" s="7"/>
      <c r="E96" s="381">
        <f t="shared" si="56"/>
        <v>0</v>
      </c>
      <c r="F96" s="381">
        <f t="shared" si="56"/>
        <v>0</v>
      </c>
      <c r="G96" s="440">
        <f t="shared" si="64"/>
        <v>0</v>
      </c>
      <c r="H96" s="440">
        <f t="shared" si="57"/>
        <v>0</v>
      </c>
      <c r="I96" s="440">
        <f t="shared" si="57"/>
        <v>0</v>
      </c>
      <c r="J96" s="440">
        <f t="shared" si="57"/>
        <v>0</v>
      </c>
      <c r="K96" s="440">
        <f t="shared" si="57"/>
        <v>0</v>
      </c>
      <c r="L96" s="440">
        <f t="shared" si="57"/>
        <v>0</v>
      </c>
      <c r="M96" s="440">
        <f t="shared" si="57"/>
        <v>0</v>
      </c>
      <c r="N96" s="440">
        <f t="shared" si="57"/>
        <v>0</v>
      </c>
      <c r="O96" s="440">
        <f t="shared" si="57"/>
        <v>0</v>
      </c>
      <c r="P96" s="440">
        <f t="shared" si="57"/>
        <v>0</v>
      </c>
      <c r="Q96" s="440">
        <f t="shared" si="57"/>
        <v>0</v>
      </c>
      <c r="R96" s="440">
        <f t="shared" si="57"/>
        <v>0</v>
      </c>
      <c r="S96" s="440">
        <f t="shared" si="57"/>
        <v>0</v>
      </c>
      <c r="T96" s="440">
        <f t="shared" si="57"/>
        <v>0</v>
      </c>
      <c r="U96" s="440">
        <f t="shared" si="58"/>
        <v>0</v>
      </c>
      <c r="V96" s="440">
        <f t="shared" si="58"/>
        <v>0</v>
      </c>
      <c r="W96" s="440">
        <f t="shared" si="58"/>
        <v>0</v>
      </c>
      <c r="X96" s="440">
        <f t="shared" si="58"/>
        <v>0</v>
      </c>
      <c r="Y96" s="440">
        <f t="shared" si="58"/>
        <v>0</v>
      </c>
      <c r="Z96" s="440">
        <f t="shared" si="58"/>
        <v>0</v>
      </c>
      <c r="AA96" s="440">
        <f t="shared" si="58"/>
        <v>0</v>
      </c>
      <c r="AB96" s="440">
        <f t="shared" si="58"/>
        <v>0</v>
      </c>
      <c r="AC96" s="440">
        <f t="shared" si="58"/>
        <v>0</v>
      </c>
      <c r="AD96" s="440">
        <f t="shared" si="58"/>
        <v>0</v>
      </c>
      <c r="AE96" s="440">
        <f t="shared" si="59"/>
        <v>0</v>
      </c>
      <c r="AF96" s="440">
        <f t="shared" si="59"/>
        <v>0</v>
      </c>
      <c r="AG96" s="440">
        <f t="shared" si="60"/>
        <v>0</v>
      </c>
      <c r="AH96" s="440">
        <f t="shared" si="60"/>
        <v>0</v>
      </c>
      <c r="AI96" s="440">
        <f t="shared" si="60"/>
        <v>0</v>
      </c>
      <c r="AJ96" s="440">
        <f t="shared" si="60"/>
        <v>0</v>
      </c>
      <c r="AK96" s="440">
        <f t="shared" si="61"/>
        <v>0</v>
      </c>
      <c r="AL96" s="440">
        <f t="shared" si="61"/>
        <v>0</v>
      </c>
      <c r="AM96" s="440">
        <f t="shared" si="61"/>
        <v>0</v>
      </c>
      <c r="AN96" s="440">
        <f t="shared" si="61"/>
        <v>0</v>
      </c>
      <c r="AO96" s="381"/>
      <c r="AP96" s="381"/>
      <c r="AQ96" s="381"/>
      <c r="AR96" s="381"/>
      <c r="AS96" s="381"/>
      <c r="AT96" s="381"/>
      <c r="AU96" s="381"/>
      <c r="AV96" s="381"/>
      <c r="AW96" s="381"/>
      <c r="AX96" s="381"/>
      <c r="AY96" s="381"/>
      <c r="AZ96" s="381"/>
      <c r="BA96" s="381"/>
      <c r="BB96" s="381"/>
      <c r="BC96" s="381"/>
      <c r="BD96" s="381"/>
      <c r="BE96" s="381"/>
      <c r="BF96" s="381"/>
      <c r="BG96" s="381"/>
      <c r="BH96" s="381"/>
      <c r="BI96" s="381"/>
      <c r="BJ96" s="381"/>
      <c r="BK96" s="440">
        <f t="shared" si="62"/>
        <v>0</v>
      </c>
      <c r="BL96" s="440">
        <f t="shared" si="62"/>
        <v>0</v>
      </c>
      <c r="BM96" s="440">
        <f t="shared" si="62"/>
        <v>0</v>
      </c>
      <c r="BN96" s="440">
        <f t="shared" si="62"/>
        <v>0</v>
      </c>
      <c r="BO96" s="440">
        <f t="shared" si="63"/>
        <v>0</v>
      </c>
      <c r="BP96" s="440">
        <f t="shared" si="63"/>
        <v>0</v>
      </c>
    </row>
    <row r="97" spans="1:68" s="2" customFormat="1" x14ac:dyDescent="0.2">
      <c r="A97" s="10"/>
      <c r="B97" s="10"/>
      <c r="C97" s="387" t="s">
        <v>56</v>
      </c>
      <c r="D97" s="7"/>
      <c r="E97" s="381">
        <f t="shared" si="56"/>
        <v>0</v>
      </c>
      <c r="F97" s="381">
        <f t="shared" si="56"/>
        <v>0</v>
      </c>
      <c r="G97" s="440">
        <f t="shared" si="64"/>
        <v>0</v>
      </c>
      <c r="H97" s="440">
        <f t="shared" si="57"/>
        <v>0</v>
      </c>
      <c r="I97" s="440">
        <f t="shared" si="57"/>
        <v>0</v>
      </c>
      <c r="J97" s="440">
        <f t="shared" si="57"/>
        <v>0</v>
      </c>
      <c r="K97" s="440">
        <f t="shared" si="57"/>
        <v>0</v>
      </c>
      <c r="L97" s="440">
        <f t="shared" si="57"/>
        <v>0</v>
      </c>
      <c r="M97" s="440">
        <f t="shared" si="57"/>
        <v>0</v>
      </c>
      <c r="N97" s="440">
        <f t="shared" si="57"/>
        <v>0</v>
      </c>
      <c r="O97" s="440">
        <f t="shared" si="57"/>
        <v>0</v>
      </c>
      <c r="P97" s="440">
        <f t="shared" si="57"/>
        <v>0</v>
      </c>
      <c r="Q97" s="440">
        <f t="shared" si="57"/>
        <v>0</v>
      </c>
      <c r="R97" s="440">
        <f t="shared" si="57"/>
        <v>0</v>
      </c>
      <c r="S97" s="440">
        <f t="shared" si="57"/>
        <v>0</v>
      </c>
      <c r="T97" s="440">
        <f t="shared" si="57"/>
        <v>0</v>
      </c>
      <c r="U97" s="440">
        <f t="shared" si="58"/>
        <v>0</v>
      </c>
      <c r="V97" s="440">
        <f t="shared" si="58"/>
        <v>0</v>
      </c>
      <c r="W97" s="440">
        <f t="shared" si="58"/>
        <v>0</v>
      </c>
      <c r="X97" s="440">
        <f t="shared" si="58"/>
        <v>0</v>
      </c>
      <c r="Y97" s="440">
        <f t="shared" si="58"/>
        <v>0</v>
      </c>
      <c r="Z97" s="440">
        <f t="shared" si="58"/>
        <v>0</v>
      </c>
      <c r="AA97" s="440">
        <f t="shared" si="58"/>
        <v>0</v>
      </c>
      <c r="AB97" s="440">
        <f t="shared" si="58"/>
        <v>0</v>
      </c>
      <c r="AC97" s="440">
        <f t="shared" si="58"/>
        <v>0</v>
      </c>
      <c r="AD97" s="440">
        <f t="shared" si="58"/>
        <v>0</v>
      </c>
      <c r="AE97" s="440">
        <f t="shared" si="59"/>
        <v>0</v>
      </c>
      <c r="AF97" s="440">
        <f t="shared" si="59"/>
        <v>0</v>
      </c>
      <c r="AG97" s="440">
        <f t="shared" si="60"/>
        <v>0</v>
      </c>
      <c r="AH97" s="440">
        <f t="shared" si="60"/>
        <v>0</v>
      </c>
      <c r="AI97" s="440">
        <f t="shared" si="60"/>
        <v>0</v>
      </c>
      <c r="AJ97" s="440">
        <f t="shared" si="60"/>
        <v>0</v>
      </c>
      <c r="AK97" s="440">
        <f t="shared" si="61"/>
        <v>0</v>
      </c>
      <c r="AL97" s="440">
        <f t="shared" si="61"/>
        <v>0</v>
      </c>
      <c r="AM97" s="440">
        <f t="shared" si="61"/>
        <v>0</v>
      </c>
      <c r="AN97" s="440">
        <f t="shared" si="61"/>
        <v>0</v>
      </c>
      <c r="AO97" s="381"/>
      <c r="AP97" s="381"/>
      <c r="AQ97" s="381"/>
      <c r="AR97" s="381"/>
      <c r="AS97" s="381"/>
      <c r="AT97" s="381"/>
      <c r="AU97" s="381"/>
      <c r="AV97" s="381"/>
      <c r="AW97" s="381"/>
      <c r="AX97" s="381"/>
      <c r="AY97" s="381"/>
      <c r="AZ97" s="381"/>
      <c r="BA97" s="381"/>
      <c r="BB97" s="381"/>
      <c r="BC97" s="381"/>
      <c r="BD97" s="381"/>
      <c r="BE97" s="381"/>
      <c r="BF97" s="381"/>
      <c r="BG97" s="381"/>
      <c r="BH97" s="381"/>
      <c r="BI97" s="381"/>
      <c r="BJ97" s="381"/>
      <c r="BK97" s="440">
        <f t="shared" si="62"/>
        <v>0</v>
      </c>
      <c r="BL97" s="440">
        <f t="shared" si="62"/>
        <v>0</v>
      </c>
      <c r="BM97" s="440">
        <f t="shared" si="62"/>
        <v>0</v>
      </c>
      <c r="BN97" s="440">
        <f t="shared" si="62"/>
        <v>0</v>
      </c>
      <c r="BO97" s="440">
        <f t="shared" si="63"/>
        <v>0</v>
      </c>
      <c r="BP97" s="440">
        <f t="shared" si="63"/>
        <v>0</v>
      </c>
    </row>
    <row r="98" spans="1:68" s="2" customFormat="1" x14ac:dyDescent="0.2">
      <c r="A98" s="10"/>
      <c r="B98" s="10"/>
      <c r="C98" s="387" t="s">
        <v>1159</v>
      </c>
      <c r="D98" s="470"/>
      <c r="E98" s="381">
        <f t="shared" si="56"/>
        <v>2502000</v>
      </c>
      <c r="F98" s="381">
        <f t="shared" si="56"/>
        <v>2502000</v>
      </c>
      <c r="G98" s="440">
        <v>170400</v>
      </c>
      <c r="H98" s="440">
        <v>170400</v>
      </c>
      <c r="I98" s="440">
        <v>103200</v>
      </c>
      <c r="J98" s="440">
        <v>103200</v>
      </c>
      <c r="K98" s="440">
        <v>96000</v>
      </c>
      <c r="L98" s="440">
        <v>96000</v>
      </c>
      <c r="M98" s="440">
        <v>175200</v>
      </c>
      <c r="N98" s="440">
        <v>175200</v>
      </c>
      <c r="O98" s="440">
        <v>103200</v>
      </c>
      <c r="P98" s="440">
        <v>103200</v>
      </c>
      <c r="Q98" s="440">
        <v>222000</v>
      </c>
      <c r="R98" s="440">
        <v>222000</v>
      </c>
      <c r="S98" s="440">
        <v>168000</v>
      </c>
      <c r="T98" s="440">
        <v>168000</v>
      </c>
      <c r="U98" s="440">
        <v>175200</v>
      </c>
      <c r="V98" s="440">
        <v>175200</v>
      </c>
      <c r="W98" s="440">
        <v>152400</v>
      </c>
      <c r="X98" s="440">
        <v>152400</v>
      </c>
      <c r="Y98" s="440">
        <v>116400</v>
      </c>
      <c r="Z98" s="440">
        <v>116400</v>
      </c>
      <c r="AA98" s="440">
        <v>87600</v>
      </c>
      <c r="AB98" s="440">
        <v>87600</v>
      </c>
      <c r="AC98" s="440">
        <v>188400</v>
      </c>
      <c r="AD98" s="440">
        <v>188400</v>
      </c>
      <c r="AE98" s="440">
        <v>154800</v>
      </c>
      <c r="AF98" s="440">
        <v>154800</v>
      </c>
      <c r="AG98" s="440">
        <v>87600</v>
      </c>
      <c r="AH98" s="440">
        <v>87600</v>
      </c>
      <c r="AI98" s="440">
        <v>156000</v>
      </c>
      <c r="AJ98" s="440">
        <v>156000</v>
      </c>
      <c r="AK98" s="440">
        <v>87600</v>
      </c>
      <c r="AL98" s="440">
        <v>87600</v>
      </c>
      <c r="AM98" s="440">
        <v>103200</v>
      </c>
      <c r="AN98" s="440">
        <v>103200</v>
      </c>
      <c r="AO98" s="381"/>
      <c r="AP98" s="381"/>
      <c r="AQ98" s="381"/>
      <c r="AR98" s="381"/>
      <c r="AS98" s="381"/>
      <c r="AT98" s="381"/>
      <c r="AU98" s="381"/>
      <c r="AV98" s="381"/>
      <c r="AW98" s="381"/>
      <c r="AX98" s="381"/>
      <c r="AY98" s="381"/>
      <c r="AZ98" s="381"/>
      <c r="BA98" s="381"/>
      <c r="BB98" s="381"/>
      <c r="BC98" s="381"/>
      <c r="BD98" s="381"/>
      <c r="BE98" s="381"/>
      <c r="BF98" s="381"/>
      <c r="BG98" s="381"/>
      <c r="BH98" s="381"/>
      <c r="BI98" s="381"/>
      <c r="BJ98" s="381"/>
      <c r="BK98" s="440">
        <f t="shared" si="62"/>
        <v>0</v>
      </c>
      <c r="BL98" s="440">
        <f t="shared" si="62"/>
        <v>0</v>
      </c>
      <c r="BM98" s="440">
        <v>154800</v>
      </c>
      <c r="BN98" s="440">
        <v>154800</v>
      </c>
      <c r="BO98" s="440">
        <f t="shared" si="63"/>
        <v>0</v>
      </c>
      <c r="BP98" s="440">
        <f t="shared" si="63"/>
        <v>0</v>
      </c>
    </row>
    <row r="99" spans="1:68" s="2" customFormat="1" x14ac:dyDescent="0.2">
      <c r="A99" s="10"/>
      <c r="B99" s="10"/>
      <c r="C99" s="387" t="s">
        <v>1160</v>
      </c>
      <c r="D99" s="13"/>
      <c r="E99" s="381">
        <f t="shared" si="56"/>
        <v>0</v>
      </c>
      <c r="F99" s="381">
        <f t="shared" si="56"/>
        <v>0</v>
      </c>
      <c r="G99" s="440">
        <f t="shared" si="64"/>
        <v>0</v>
      </c>
      <c r="H99" s="440">
        <f t="shared" si="64"/>
        <v>0</v>
      </c>
      <c r="I99" s="440">
        <f t="shared" si="64"/>
        <v>0</v>
      </c>
      <c r="J99" s="440">
        <f t="shared" si="64"/>
        <v>0</v>
      </c>
      <c r="K99" s="440">
        <f t="shared" si="64"/>
        <v>0</v>
      </c>
      <c r="L99" s="440">
        <f t="shared" si="64"/>
        <v>0</v>
      </c>
      <c r="M99" s="440">
        <f t="shared" si="64"/>
        <v>0</v>
      </c>
      <c r="N99" s="440">
        <f t="shared" si="64"/>
        <v>0</v>
      </c>
      <c r="O99" s="440">
        <f t="shared" si="64"/>
        <v>0</v>
      </c>
      <c r="P99" s="440">
        <f t="shared" si="64"/>
        <v>0</v>
      </c>
      <c r="Q99" s="440">
        <f t="shared" si="64"/>
        <v>0</v>
      </c>
      <c r="R99" s="440">
        <f t="shared" si="64"/>
        <v>0</v>
      </c>
      <c r="S99" s="440">
        <f t="shared" si="64"/>
        <v>0</v>
      </c>
      <c r="T99" s="440">
        <f t="shared" si="64"/>
        <v>0</v>
      </c>
      <c r="U99" s="440">
        <f t="shared" ref="U99:AB101" si="65">U11</f>
        <v>0</v>
      </c>
      <c r="V99" s="440">
        <f t="shared" si="65"/>
        <v>0</v>
      </c>
      <c r="W99" s="440">
        <f t="shared" si="65"/>
        <v>0</v>
      </c>
      <c r="X99" s="440">
        <f t="shared" si="65"/>
        <v>0</v>
      </c>
      <c r="Y99" s="440">
        <f t="shared" si="65"/>
        <v>0</v>
      </c>
      <c r="Z99" s="440">
        <f t="shared" si="65"/>
        <v>0</v>
      </c>
      <c r="AA99" s="440">
        <f t="shared" si="65"/>
        <v>0</v>
      </c>
      <c r="AB99" s="440">
        <f t="shared" si="65"/>
        <v>0</v>
      </c>
      <c r="AC99" s="440">
        <f t="shared" si="58"/>
        <v>0</v>
      </c>
      <c r="AD99" s="440">
        <f t="shared" si="58"/>
        <v>0</v>
      </c>
      <c r="AE99" s="440">
        <f t="shared" si="59"/>
        <v>0</v>
      </c>
      <c r="AF99" s="440">
        <f t="shared" si="59"/>
        <v>0</v>
      </c>
      <c r="AG99" s="440">
        <f t="shared" ref="AG99:AH101" si="66">AG11</f>
        <v>0</v>
      </c>
      <c r="AH99" s="440">
        <f t="shared" si="66"/>
        <v>0</v>
      </c>
      <c r="AI99" s="440">
        <f t="shared" si="60"/>
        <v>0</v>
      </c>
      <c r="AJ99" s="440">
        <f t="shared" si="60"/>
        <v>0</v>
      </c>
      <c r="AK99" s="440">
        <f t="shared" si="61"/>
        <v>0</v>
      </c>
      <c r="AL99" s="440">
        <f t="shared" si="61"/>
        <v>0</v>
      </c>
      <c r="AM99" s="440">
        <f t="shared" si="61"/>
        <v>0</v>
      </c>
      <c r="AN99" s="440">
        <f t="shared" si="61"/>
        <v>0</v>
      </c>
      <c r="AO99" s="381"/>
      <c r="AP99" s="381"/>
      <c r="AQ99" s="381"/>
      <c r="AR99" s="381"/>
      <c r="AS99" s="381"/>
      <c r="AT99" s="381"/>
      <c r="AU99" s="381"/>
      <c r="AV99" s="381"/>
      <c r="AW99" s="381"/>
      <c r="AX99" s="381"/>
      <c r="AY99" s="381"/>
      <c r="AZ99" s="381"/>
      <c r="BA99" s="381"/>
      <c r="BB99" s="381"/>
      <c r="BC99" s="381"/>
      <c r="BD99" s="381"/>
      <c r="BE99" s="381"/>
      <c r="BF99" s="381"/>
      <c r="BG99" s="381"/>
      <c r="BH99" s="381"/>
      <c r="BI99" s="381"/>
      <c r="BJ99" s="381"/>
      <c r="BK99" s="440">
        <f t="shared" si="62"/>
        <v>0</v>
      </c>
      <c r="BL99" s="440">
        <f t="shared" si="62"/>
        <v>0</v>
      </c>
      <c r="BM99" s="440">
        <f t="shared" si="62"/>
        <v>0</v>
      </c>
      <c r="BN99" s="440">
        <f t="shared" si="62"/>
        <v>0</v>
      </c>
      <c r="BO99" s="440">
        <f t="shared" si="63"/>
        <v>0</v>
      </c>
      <c r="BP99" s="440">
        <f t="shared" si="63"/>
        <v>0</v>
      </c>
    </row>
    <row r="100" spans="1:68" s="2" customFormat="1" x14ac:dyDescent="0.2">
      <c r="A100" s="10"/>
      <c r="B100" s="10"/>
      <c r="C100" s="387" t="s">
        <v>1161</v>
      </c>
      <c r="D100" s="13"/>
      <c r="E100" s="381">
        <f t="shared" si="56"/>
        <v>468000</v>
      </c>
      <c r="F100" s="381">
        <f t="shared" si="56"/>
        <v>483600</v>
      </c>
      <c r="G100" s="440">
        <f t="shared" si="64"/>
        <v>36000</v>
      </c>
      <c r="H100" s="440">
        <f t="shared" si="64"/>
        <v>36000</v>
      </c>
      <c r="I100" s="440">
        <f t="shared" si="64"/>
        <v>12000</v>
      </c>
      <c r="J100" s="440">
        <f t="shared" si="64"/>
        <v>12000</v>
      </c>
      <c r="K100" s="440">
        <f t="shared" si="64"/>
        <v>18000</v>
      </c>
      <c r="L100" s="440">
        <f t="shared" si="64"/>
        <v>18000</v>
      </c>
      <c r="M100" s="440">
        <f t="shared" si="64"/>
        <v>36000</v>
      </c>
      <c r="N100" s="440">
        <f t="shared" si="64"/>
        <v>36000</v>
      </c>
      <c r="O100" s="440">
        <f t="shared" si="64"/>
        <v>18000</v>
      </c>
      <c r="P100" s="440">
        <f t="shared" si="64"/>
        <v>18000</v>
      </c>
      <c r="Q100" s="440">
        <f t="shared" si="64"/>
        <v>36000</v>
      </c>
      <c r="R100" s="440">
        <f t="shared" si="64"/>
        <v>36000</v>
      </c>
      <c r="S100" s="440">
        <f t="shared" si="64"/>
        <v>12000</v>
      </c>
      <c r="T100" s="440">
        <f t="shared" si="64"/>
        <v>12000</v>
      </c>
      <c r="U100" s="440">
        <f t="shared" si="65"/>
        <v>36000</v>
      </c>
      <c r="V100" s="440">
        <f t="shared" si="65"/>
        <v>36000</v>
      </c>
      <c r="W100" s="440">
        <f t="shared" si="65"/>
        <v>36000</v>
      </c>
      <c r="X100" s="440">
        <f t="shared" si="65"/>
        <v>36000</v>
      </c>
      <c r="Y100" s="440">
        <f t="shared" si="65"/>
        <v>12000</v>
      </c>
      <c r="Z100" s="440">
        <f t="shared" si="65"/>
        <v>12000</v>
      </c>
      <c r="AA100" s="440">
        <f t="shared" si="65"/>
        <v>12000</v>
      </c>
      <c r="AB100" s="440">
        <f t="shared" si="65"/>
        <v>18000</v>
      </c>
      <c r="AC100" s="440">
        <f t="shared" si="58"/>
        <v>30000</v>
      </c>
      <c r="AD100" s="440">
        <f t="shared" si="58"/>
        <v>30000</v>
      </c>
      <c r="AE100" s="440">
        <f t="shared" si="59"/>
        <v>30000</v>
      </c>
      <c r="AF100" s="440">
        <f t="shared" si="59"/>
        <v>30000</v>
      </c>
      <c r="AG100" s="440">
        <f t="shared" si="66"/>
        <v>18000</v>
      </c>
      <c r="AH100" s="440">
        <f t="shared" si="66"/>
        <v>18000</v>
      </c>
      <c r="AI100" s="440">
        <f t="shared" si="60"/>
        <v>18000</v>
      </c>
      <c r="AJ100" s="440">
        <f t="shared" si="60"/>
        <v>27600</v>
      </c>
      <c r="AK100" s="440">
        <f t="shared" si="61"/>
        <v>18000</v>
      </c>
      <c r="AL100" s="440">
        <f t="shared" si="61"/>
        <v>18000</v>
      </c>
      <c r="AM100" s="440">
        <f t="shared" si="61"/>
        <v>18000</v>
      </c>
      <c r="AN100" s="440">
        <f t="shared" si="61"/>
        <v>18000</v>
      </c>
      <c r="AO100" s="381"/>
      <c r="AP100" s="381"/>
      <c r="AQ100" s="381"/>
      <c r="AR100" s="381"/>
      <c r="AS100" s="381"/>
      <c r="AT100" s="381"/>
      <c r="AU100" s="381"/>
      <c r="AV100" s="381"/>
      <c r="AW100" s="381"/>
      <c r="AX100" s="381"/>
      <c r="AY100" s="381"/>
      <c r="AZ100" s="381"/>
      <c r="BA100" s="381"/>
      <c r="BB100" s="381"/>
      <c r="BC100" s="381"/>
      <c r="BD100" s="381"/>
      <c r="BE100" s="381"/>
      <c r="BF100" s="381"/>
      <c r="BG100" s="381"/>
      <c r="BH100" s="381"/>
      <c r="BI100" s="381"/>
      <c r="BJ100" s="381"/>
      <c r="BK100" s="440">
        <f t="shared" si="62"/>
        <v>0</v>
      </c>
      <c r="BL100" s="440">
        <f t="shared" si="62"/>
        <v>0</v>
      </c>
      <c r="BM100" s="440">
        <f t="shared" si="62"/>
        <v>36000</v>
      </c>
      <c r="BN100" s="440">
        <f t="shared" si="62"/>
        <v>36000</v>
      </c>
      <c r="BO100" s="440">
        <f t="shared" si="63"/>
        <v>36000</v>
      </c>
      <c r="BP100" s="440">
        <f t="shared" si="63"/>
        <v>36000</v>
      </c>
    </row>
    <row r="101" spans="1:68" s="2" customFormat="1" x14ac:dyDescent="0.2">
      <c r="A101" s="10"/>
      <c r="B101" s="10"/>
      <c r="C101" s="11" t="s">
        <v>1177</v>
      </c>
      <c r="D101" s="13"/>
      <c r="E101" s="381">
        <f t="shared" si="56"/>
        <v>0</v>
      </c>
      <c r="F101" s="381">
        <f t="shared" si="56"/>
        <v>0</v>
      </c>
      <c r="G101" s="440">
        <f t="shared" si="64"/>
        <v>0</v>
      </c>
      <c r="H101" s="440">
        <f t="shared" si="64"/>
        <v>0</v>
      </c>
      <c r="I101" s="440">
        <f t="shared" si="64"/>
        <v>0</v>
      </c>
      <c r="J101" s="440">
        <f t="shared" si="64"/>
        <v>0</v>
      </c>
      <c r="K101" s="440">
        <f t="shared" si="64"/>
        <v>0</v>
      </c>
      <c r="L101" s="440">
        <f t="shared" si="64"/>
        <v>0</v>
      </c>
      <c r="M101" s="440">
        <f t="shared" si="64"/>
        <v>0</v>
      </c>
      <c r="N101" s="440">
        <f t="shared" si="64"/>
        <v>0</v>
      </c>
      <c r="O101" s="440">
        <f t="shared" si="64"/>
        <v>0</v>
      </c>
      <c r="P101" s="440">
        <f t="shared" si="64"/>
        <v>0</v>
      </c>
      <c r="Q101" s="440">
        <f t="shared" si="64"/>
        <v>0</v>
      </c>
      <c r="R101" s="440">
        <f t="shared" si="64"/>
        <v>0</v>
      </c>
      <c r="S101" s="440">
        <f t="shared" si="64"/>
        <v>0</v>
      </c>
      <c r="T101" s="440">
        <f t="shared" si="64"/>
        <v>0</v>
      </c>
      <c r="U101" s="440">
        <f t="shared" si="65"/>
        <v>0</v>
      </c>
      <c r="V101" s="440">
        <f t="shared" si="65"/>
        <v>0</v>
      </c>
      <c r="W101" s="440">
        <f t="shared" si="65"/>
        <v>0</v>
      </c>
      <c r="X101" s="440">
        <f t="shared" si="65"/>
        <v>0</v>
      </c>
      <c r="Y101" s="440">
        <f t="shared" si="65"/>
        <v>0</v>
      </c>
      <c r="Z101" s="440">
        <f t="shared" si="65"/>
        <v>0</v>
      </c>
      <c r="AA101" s="440">
        <f t="shared" si="65"/>
        <v>0</v>
      </c>
      <c r="AB101" s="440">
        <f t="shared" si="65"/>
        <v>0</v>
      </c>
      <c r="AC101" s="440">
        <f t="shared" si="58"/>
        <v>0</v>
      </c>
      <c r="AD101" s="440">
        <f t="shared" si="58"/>
        <v>0</v>
      </c>
      <c r="AE101" s="440">
        <f t="shared" si="59"/>
        <v>0</v>
      </c>
      <c r="AF101" s="440">
        <f t="shared" si="59"/>
        <v>0</v>
      </c>
      <c r="AG101" s="440">
        <f t="shared" si="66"/>
        <v>0</v>
      </c>
      <c r="AH101" s="440">
        <f t="shared" si="66"/>
        <v>0</v>
      </c>
      <c r="AI101" s="440">
        <f t="shared" si="60"/>
        <v>0</v>
      </c>
      <c r="AJ101" s="440">
        <f t="shared" si="60"/>
        <v>0</v>
      </c>
      <c r="AK101" s="440">
        <f t="shared" si="61"/>
        <v>0</v>
      </c>
      <c r="AL101" s="440">
        <f t="shared" si="61"/>
        <v>0</v>
      </c>
      <c r="AM101" s="440">
        <f t="shared" si="61"/>
        <v>0</v>
      </c>
      <c r="AN101" s="440">
        <f t="shared" si="61"/>
        <v>0</v>
      </c>
      <c r="AO101" s="381"/>
      <c r="AP101" s="381"/>
      <c r="AQ101" s="381"/>
      <c r="AR101" s="381"/>
      <c r="AS101" s="381"/>
      <c r="AT101" s="381"/>
      <c r="AU101" s="381"/>
      <c r="AV101" s="381"/>
      <c r="AW101" s="381"/>
      <c r="AX101" s="381"/>
      <c r="AY101" s="381"/>
      <c r="AZ101" s="381"/>
      <c r="BA101" s="381"/>
      <c r="BB101" s="381"/>
      <c r="BC101" s="381"/>
      <c r="BD101" s="381"/>
      <c r="BE101" s="381"/>
      <c r="BF101" s="381"/>
      <c r="BG101" s="381"/>
      <c r="BH101" s="381"/>
      <c r="BI101" s="381"/>
      <c r="BJ101" s="381"/>
      <c r="BK101" s="440">
        <f t="shared" si="62"/>
        <v>0</v>
      </c>
      <c r="BL101" s="440">
        <f t="shared" si="62"/>
        <v>0</v>
      </c>
      <c r="BM101" s="440">
        <f t="shared" si="62"/>
        <v>0</v>
      </c>
      <c r="BN101" s="440">
        <f t="shared" si="62"/>
        <v>0</v>
      </c>
      <c r="BO101" s="440">
        <f t="shared" si="63"/>
        <v>0</v>
      </c>
      <c r="BP101" s="440">
        <f t="shared" si="63"/>
        <v>0</v>
      </c>
    </row>
    <row r="102" spans="1:68" x14ac:dyDescent="0.2">
      <c r="A102" s="156"/>
      <c r="B102" s="221">
        <v>1.2</v>
      </c>
      <c r="C102" s="161" t="s">
        <v>837</v>
      </c>
      <c r="D102" s="157"/>
      <c r="E102" s="158">
        <f>SUM(E103:E106,E111,E112)</f>
        <v>13936336</v>
      </c>
      <c r="F102" s="158">
        <f>SUM(F103:F106,F111,F112)</f>
        <v>13753420.48</v>
      </c>
      <c r="G102" s="158">
        <f>SUM(G103:G106,G111,G112)</f>
        <v>790884</v>
      </c>
      <c r="H102" s="158">
        <f>SUM(H103:H106,H111,H112)</f>
        <v>824480.96</v>
      </c>
      <c r="I102" s="158">
        <f t="shared" ref="I102:Z102" si="67">SUM(I103:I106,I111,I112)</f>
        <v>615024</v>
      </c>
      <c r="J102" s="158">
        <f t="shared" si="67"/>
        <v>622680.96</v>
      </c>
      <c r="K102" s="158">
        <f t="shared" si="67"/>
        <v>670356</v>
      </c>
      <c r="L102" s="158">
        <f t="shared" si="67"/>
        <v>643123.19999999995</v>
      </c>
      <c r="M102" s="158">
        <f t="shared" si="67"/>
        <v>996144</v>
      </c>
      <c r="N102" s="158">
        <f t="shared" si="67"/>
        <v>1020101.7600000001</v>
      </c>
      <c r="O102" s="158">
        <f t="shared" si="67"/>
        <v>802790</v>
      </c>
      <c r="P102" s="158">
        <f t="shared" si="67"/>
        <v>814970.4</v>
      </c>
      <c r="Q102" s="158">
        <f t="shared" si="67"/>
        <v>807082</v>
      </c>
      <c r="R102" s="158">
        <f t="shared" si="67"/>
        <v>784099.67999999993</v>
      </c>
      <c r="S102" s="158">
        <f t="shared" si="67"/>
        <v>758838</v>
      </c>
      <c r="T102" s="158">
        <f t="shared" si="67"/>
        <v>804956</v>
      </c>
      <c r="U102" s="158">
        <f t="shared" si="67"/>
        <v>645258</v>
      </c>
      <c r="V102" s="158">
        <f t="shared" si="67"/>
        <v>585775.52</v>
      </c>
      <c r="W102" s="158">
        <f t="shared" si="67"/>
        <v>823814</v>
      </c>
      <c r="X102" s="158">
        <f t="shared" si="67"/>
        <v>616369.76</v>
      </c>
      <c r="Y102" s="158">
        <f t="shared" si="67"/>
        <v>481298</v>
      </c>
      <c r="Z102" s="158">
        <f t="shared" si="67"/>
        <v>482682.72000000003</v>
      </c>
      <c r="AA102" s="158">
        <f t="shared" ref="AA102:BN102" si="68">SUM(AA103:AA106,AA111,AA112)</f>
        <v>646296</v>
      </c>
      <c r="AB102" s="158">
        <f t="shared" si="68"/>
        <v>653267.04</v>
      </c>
      <c r="AC102" s="158">
        <f t="shared" si="68"/>
        <v>831184</v>
      </c>
      <c r="AD102" s="158">
        <f t="shared" si="68"/>
        <v>855805.76</v>
      </c>
      <c r="AE102" s="158">
        <f t="shared" si="68"/>
        <v>782438</v>
      </c>
      <c r="AF102" s="158">
        <f t="shared" si="68"/>
        <v>735126.72</v>
      </c>
      <c r="AG102" s="158">
        <f t="shared" si="68"/>
        <v>453030</v>
      </c>
      <c r="AH102" s="158">
        <f t="shared" si="68"/>
        <v>419390.4</v>
      </c>
      <c r="AI102" s="158">
        <f t="shared" si="68"/>
        <v>1095886</v>
      </c>
      <c r="AJ102" s="158">
        <f t="shared" si="68"/>
        <v>1099520.6399999999</v>
      </c>
      <c r="AK102" s="158">
        <f t="shared" si="68"/>
        <v>440872</v>
      </c>
      <c r="AL102" s="158">
        <f t="shared" si="68"/>
        <v>478620.48</v>
      </c>
      <c r="AM102" s="158">
        <f t="shared" si="68"/>
        <v>575376</v>
      </c>
      <c r="AN102" s="158">
        <f t="shared" si="68"/>
        <v>594666.23999999999</v>
      </c>
      <c r="AO102" s="158">
        <f t="shared" si="68"/>
        <v>0</v>
      </c>
      <c r="AP102" s="158">
        <f t="shared" si="68"/>
        <v>0</v>
      </c>
      <c r="AQ102" s="158">
        <f t="shared" si="68"/>
        <v>0</v>
      </c>
      <c r="AR102" s="158">
        <f t="shared" si="68"/>
        <v>0</v>
      </c>
      <c r="AS102" s="158">
        <f t="shared" si="68"/>
        <v>0</v>
      </c>
      <c r="AT102" s="158">
        <f t="shared" si="68"/>
        <v>0</v>
      </c>
      <c r="AU102" s="158">
        <f t="shared" si="68"/>
        <v>0</v>
      </c>
      <c r="AV102" s="158">
        <f t="shared" si="68"/>
        <v>0</v>
      </c>
      <c r="AW102" s="158">
        <f t="shared" si="68"/>
        <v>0</v>
      </c>
      <c r="AX102" s="158">
        <f t="shared" si="68"/>
        <v>0</v>
      </c>
      <c r="AY102" s="158">
        <f t="shared" si="68"/>
        <v>0</v>
      </c>
      <c r="AZ102" s="158">
        <f t="shared" si="68"/>
        <v>0</v>
      </c>
      <c r="BA102" s="158">
        <f t="shared" si="68"/>
        <v>0</v>
      </c>
      <c r="BB102" s="158">
        <f t="shared" si="68"/>
        <v>0</v>
      </c>
      <c r="BC102" s="158">
        <f t="shared" si="68"/>
        <v>0</v>
      </c>
      <c r="BD102" s="158">
        <f t="shared" si="68"/>
        <v>0</v>
      </c>
      <c r="BE102" s="158">
        <f t="shared" si="68"/>
        <v>0</v>
      </c>
      <c r="BF102" s="158">
        <f t="shared" si="68"/>
        <v>0</v>
      </c>
      <c r="BG102" s="158">
        <f t="shared" si="68"/>
        <v>0</v>
      </c>
      <c r="BH102" s="158">
        <f t="shared" si="68"/>
        <v>0</v>
      </c>
      <c r="BI102" s="158">
        <f t="shared" si="68"/>
        <v>0</v>
      </c>
      <c r="BJ102" s="158">
        <f t="shared" si="68"/>
        <v>0</v>
      </c>
      <c r="BK102" s="158">
        <f t="shared" si="68"/>
        <v>0</v>
      </c>
      <c r="BL102" s="158">
        <f t="shared" si="68"/>
        <v>0</v>
      </c>
      <c r="BM102" s="158">
        <f t="shared" si="68"/>
        <v>703576</v>
      </c>
      <c r="BN102" s="158">
        <f t="shared" si="68"/>
        <v>660944.64000000001</v>
      </c>
      <c r="BO102" s="158">
        <f>SUM(BO103:BO106,BO111,BO112)</f>
        <v>1016190</v>
      </c>
      <c r="BP102" s="158">
        <f>SUM(BP103:BP106,BP111,BP112)</f>
        <v>1056837.6000000001</v>
      </c>
    </row>
    <row r="103" spans="1:68" s="481" customFormat="1" x14ac:dyDescent="0.2">
      <c r="A103" s="471"/>
      <c r="B103" s="472"/>
      <c r="C103" s="473"/>
      <c r="D103" s="474" t="s">
        <v>73</v>
      </c>
      <c r="E103" s="475">
        <f t="shared" ref="E103:F105" si="69">SUMIF($G$2:$BP$2,E$2,($G103:$BP103))</f>
        <v>732760</v>
      </c>
      <c r="F103" s="475">
        <f t="shared" si="69"/>
        <v>762070.4</v>
      </c>
      <c r="G103" s="476">
        <v>0</v>
      </c>
      <c r="H103" s="477">
        <f>G103+(G103*4%)</f>
        <v>0</v>
      </c>
      <c r="I103" s="477">
        <v>0</v>
      </c>
      <c r="J103" s="477">
        <f>I103+(I103*4%)</f>
        <v>0</v>
      </c>
      <c r="K103" s="477">
        <v>0</v>
      </c>
      <c r="L103" s="477">
        <f>K103+(K103*4%)</f>
        <v>0</v>
      </c>
      <c r="M103" s="477">
        <f>7260*12</f>
        <v>87120</v>
      </c>
      <c r="N103" s="477">
        <f>M103+(M103*4%)</f>
        <v>90604.800000000003</v>
      </c>
      <c r="O103" s="477">
        <f>16780*12</f>
        <v>201360</v>
      </c>
      <c r="P103" s="477">
        <f>O103+(O103*4%)</f>
        <v>209414.39999999999</v>
      </c>
      <c r="Q103" s="477">
        <v>0</v>
      </c>
      <c r="R103" s="477">
        <f>Q103+(Q103*4%)</f>
        <v>0</v>
      </c>
      <c r="S103" s="477">
        <v>0</v>
      </c>
      <c r="T103" s="477">
        <f>S103+(S103*4%)</f>
        <v>0</v>
      </c>
      <c r="U103" s="477"/>
      <c r="V103" s="477">
        <f>U103+(U103*4%)</f>
        <v>0</v>
      </c>
      <c r="W103" s="477">
        <v>0</v>
      </c>
      <c r="X103" s="477">
        <f>W103+(W103*4%)</f>
        <v>0</v>
      </c>
      <c r="Y103" s="477"/>
      <c r="Z103" s="477">
        <f>Y103+(Y103*4%)</f>
        <v>0</v>
      </c>
      <c r="AA103" s="478">
        <v>0</v>
      </c>
      <c r="AB103" s="477">
        <f>AA103+(AA103*4%)</f>
        <v>0</v>
      </c>
      <c r="AC103" s="477">
        <v>0</v>
      </c>
      <c r="AD103" s="477">
        <f>AC103+(AC103*4%)</f>
        <v>0</v>
      </c>
      <c r="AE103" s="478">
        <v>0</v>
      </c>
      <c r="AF103" s="477">
        <f>AE103+(AE103*4%)</f>
        <v>0</v>
      </c>
      <c r="AG103" s="478">
        <v>0</v>
      </c>
      <c r="AH103" s="477">
        <f>AG103+(AG103*4%)</f>
        <v>0</v>
      </c>
      <c r="AI103" s="479">
        <v>158440</v>
      </c>
      <c r="AJ103" s="477">
        <f>AI103+(AI103*4%)</f>
        <v>164777.60000000001</v>
      </c>
      <c r="AK103" s="478">
        <v>0</v>
      </c>
      <c r="AL103" s="477">
        <f>AK103+(AK103*4%)</f>
        <v>0</v>
      </c>
      <c r="AM103" s="477">
        <v>0</v>
      </c>
      <c r="AN103" s="477">
        <f>AM103+(AM103*4%)</f>
        <v>0</v>
      </c>
      <c r="AO103" s="480"/>
      <c r="AP103" s="480"/>
      <c r="AQ103" s="480"/>
      <c r="AR103" s="480"/>
      <c r="AS103" s="480"/>
      <c r="AT103" s="480"/>
      <c r="AU103" s="480"/>
      <c r="AV103" s="480"/>
      <c r="AW103" s="480"/>
      <c r="AX103" s="480"/>
      <c r="AY103" s="480"/>
      <c r="AZ103" s="480"/>
      <c r="BA103" s="480"/>
      <c r="BB103" s="480"/>
      <c r="BC103" s="480"/>
      <c r="BD103" s="480"/>
      <c r="BE103" s="480"/>
      <c r="BF103" s="480"/>
      <c r="BG103" s="480"/>
      <c r="BH103" s="480"/>
      <c r="BI103" s="480"/>
      <c r="BJ103" s="480"/>
      <c r="BK103" s="477">
        <v>0</v>
      </c>
      <c r="BL103" s="477">
        <f>BK103+(BK103*4%)</f>
        <v>0</v>
      </c>
      <c r="BM103" s="477">
        <v>0</v>
      </c>
      <c r="BN103" s="477">
        <f>BM103+(BM103*4%)</f>
        <v>0</v>
      </c>
      <c r="BO103" s="477">
        <f>23820*12</f>
        <v>285840</v>
      </c>
      <c r="BP103" s="477">
        <f>BO103+(BO103*4%)</f>
        <v>297273.59999999998</v>
      </c>
    </row>
    <row r="104" spans="1:68" s="481" customFormat="1" x14ac:dyDescent="0.2">
      <c r="A104" s="471"/>
      <c r="B104" s="472"/>
      <c r="C104" s="473"/>
      <c r="D104" s="474" t="s">
        <v>74</v>
      </c>
      <c r="E104" s="475">
        <f t="shared" si="69"/>
        <v>8662680</v>
      </c>
      <c r="F104" s="475">
        <f t="shared" si="69"/>
        <v>9009187.1999999993</v>
      </c>
      <c r="G104" s="476">
        <f>46740*12</f>
        <v>560880</v>
      </c>
      <c r="H104" s="477">
        <f>G104+(G104*4%)</f>
        <v>583315.19999999995</v>
      </c>
      <c r="I104" s="477">
        <f>34240*12</f>
        <v>410880</v>
      </c>
      <c r="J104" s="477">
        <f>I104+(I104*4%)</f>
        <v>427315.20000000001</v>
      </c>
      <c r="K104" s="477">
        <f>35800*12</f>
        <v>429600</v>
      </c>
      <c r="L104" s="477">
        <f>K104+(K104*4%)</f>
        <v>446784</v>
      </c>
      <c r="M104" s="477">
        <f>52180*12</f>
        <v>626160</v>
      </c>
      <c r="N104" s="477">
        <f>M104+(M104*4%)</f>
        <v>651206.40000000002</v>
      </c>
      <c r="O104" s="477">
        <f>29570*12</f>
        <v>354840</v>
      </c>
      <c r="P104" s="477">
        <f>O104+(O104*4%)</f>
        <v>369033.6</v>
      </c>
      <c r="Q104" s="477">
        <f>43170*12</f>
        <v>518040</v>
      </c>
      <c r="R104" s="477">
        <f>Q104+(Q104*4%)</f>
        <v>538761.6</v>
      </c>
      <c r="S104" s="477">
        <f>45250*12</f>
        <v>543000</v>
      </c>
      <c r="T104" s="477">
        <f>S104+(S104*4%)</f>
        <v>564720</v>
      </c>
      <c r="U104" s="477">
        <f>30630*12</f>
        <v>367560</v>
      </c>
      <c r="V104" s="477">
        <f>U104+(U104*4%)</f>
        <v>382262.4</v>
      </c>
      <c r="W104" s="477">
        <f>32690*12</f>
        <v>392280</v>
      </c>
      <c r="X104" s="477">
        <f>W104+(W104*4%)</f>
        <v>407971.2</v>
      </c>
      <c r="Y104" s="477">
        <f>24930*12</f>
        <v>299160</v>
      </c>
      <c r="Z104" s="477">
        <f>Y104+(Y104*4%)</f>
        <v>311126.40000000002</v>
      </c>
      <c r="AA104" s="478">
        <f>34010*12</f>
        <v>408120</v>
      </c>
      <c r="AB104" s="477">
        <f>AA104+(AA104*4%)</f>
        <v>424444.8</v>
      </c>
      <c r="AC104" s="477">
        <f>47940*12</f>
        <v>575280</v>
      </c>
      <c r="AD104" s="477">
        <f>AC104+(AC104*4%)</f>
        <v>598291.19999999995</v>
      </c>
      <c r="AE104" s="478">
        <f>42180*12</f>
        <v>506160</v>
      </c>
      <c r="AF104" s="477">
        <f>AE104+(AE104*4%)</f>
        <v>526406.40000000002</v>
      </c>
      <c r="AG104" s="478">
        <f>(24830-12420+7690)*12</f>
        <v>241200</v>
      </c>
      <c r="AH104" s="477">
        <f>AG104+(AG104*4%)</f>
        <v>250848</v>
      </c>
      <c r="AI104" s="477">
        <v>615480</v>
      </c>
      <c r="AJ104" s="477">
        <f>AI104+(AI104*4%)</f>
        <v>640099.19999999995</v>
      </c>
      <c r="AK104" s="478">
        <f>24620*12</f>
        <v>295440</v>
      </c>
      <c r="AL104" s="477">
        <f>AK104+(AK104*4%)</f>
        <v>307257.59999999998</v>
      </c>
      <c r="AM104" s="477">
        <f>32560*12</f>
        <v>390720</v>
      </c>
      <c r="AN104" s="477">
        <f>AM104+(AM104*4%)</f>
        <v>406348.79999999999</v>
      </c>
      <c r="AO104" s="480"/>
      <c r="AP104" s="480"/>
      <c r="AQ104" s="480"/>
      <c r="AR104" s="480"/>
      <c r="AS104" s="480"/>
      <c r="AT104" s="480"/>
      <c r="AU104" s="480"/>
      <c r="AV104" s="480"/>
      <c r="AW104" s="480"/>
      <c r="AX104" s="480"/>
      <c r="AY104" s="480"/>
      <c r="AZ104" s="480"/>
      <c r="BA104" s="480"/>
      <c r="BB104" s="480"/>
      <c r="BC104" s="480"/>
      <c r="BD104" s="480"/>
      <c r="BE104" s="480"/>
      <c r="BF104" s="480"/>
      <c r="BG104" s="480"/>
      <c r="BH104" s="480"/>
      <c r="BI104" s="480"/>
      <c r="BJ104" s="480"/>
      <c r="BK104" s="477">
        <v>0</v>
      </c>
      <c r="BL104" s="477">
        <f>BK104+(BK104*4%)</f>
        <v>0</v>
      </c>
      <c r="BM104" s="477">
        <f>37160*12</f>
        <v>445920</v>
      </c>
      <c r="BN104" s="477">
        <f>BM104+(BM104*4%)</f>
        <v>463756.79999999999</v>
      </c>
      <c r="BO104" s="477">
        <f>56830*12</f>
        <v>681960</v>
      </c>
      <c r="BP104" s="477">
        <f>BO104+(BO104*4%)</f>
        <v>709238.4</v>
      </c>
    </row>
    <row r="105" spans="1:68" x14ac:dyDescent="0.2">
      <c r="A105" s="25"/>
      <c r="B105" s="26"/>
      <c r="C105" s="27"/>
      <c r="D105" s="389" t="s">
        <v>21</v>
      </c>
      <c r="E105" s="381">
        <f t="shared" si="69"/>
        <v>469772</v>
      </c>
      <c r="F105" s="381">
        <f t="shared" si="69"/>
        <v>488562.88</v>
      </c>
      <c r="G105" s="446">
        <f t="shared" ref="G105:AD105" si="70">(G103+G104)*5%</f>
        <v>28044</v>
      </c>
      <c r="H105" s="446">
        <f t="shared" si="70"/>
        <v>29165.759999999998</v>
      </c>
      <c r="I105" s="446">
        <f t="shared" si="70"/>
        <v>20544</v>
      </c>
      <c r="J105" s="446">
        <f t="shared" si="70"/>
        <v>21365.760000000002</v>
      </c>
      <c r="K105" s="446">
        <f t="shared" si="70"/>
        <v>21480</v>
      </c>
      <c r="L105" s="446">
        <f t="shared" si="70"/>
        <v>22339.200000000001</v>
      </c>
      <c r="M105" s="446">
        <f t="shared" si="70"/>
        <v>35664</v>
      </c>
      <c r="N105" s="446">
        <f t="shared" si="70"/>
        <v>37090.560000000005</v>
      </c>
      <c r="O105" s="446">
        <f t="shared" si="70"/>
        <v>27810</v>
      </c>
      <c r="P105" s="446">
        <f t="shared" si="70"/>
        <v>28922.400000000001</v>
      </c>
      <c r="Q105" s="446">
        <f t="shared" si="70"/>
        <v>25902</v>
      </c>
      <c r="R105" s="446">
        <f t="shared" si="70"/>
        <v>26938.080000000002</v>
      </c>
      <c r="S105" s="446">
        <f t="shared" si="70"/>
        <v>27150</v>
      </c>
      <c r="T105" s="446">
        <f t="shared" si="70"/>
        <v>28236</v>
      </c>
      <c r="U105" s="446">
        <f t="shared" si="70"/>
        <v>18378</v>
      </c>
      <c r="V105" s="446">
        <f t="shared" si="70"/>
        <v>19113.120000000003</v>
      </c>
      <c r="W105" s="446">
        <f t="shared" si="70"/>
        <v>19614</v>
      </c>
      <c r="X105" s="446">
        <f t="shared" si="70"/>
        <v>20398.560000000001</v>
      </c>
      <c r="Y105" s="446">
        <f t="shared" si="70"/>
        <v>14958</v>
      </c>
      <c r="Z105" s="446">
        <f t="shared" si="70"/>
        <v>15556.320000000002</v>
      </c>
      <c r="AA105" s="446">
        <f t="shared" si="70"/>
        <v>20406</v>
      </c>
      <c r="AB105" s="446">
        <f t="shared" si="70"/>
        <v>21222.240000000002</v>
      </c>
      <c r="AC105" s="446">
        <f t="shared" si="70"/>
        <v>28764</v>
      </c>
      <c r="AD105" s="446">
        <f t="shared" si="70"/>
        <v>29914.559999999998</v>
      </c>
      <c r="AE105" s="446">
        <f t="shared" ref="AE105:AF105" si="71">(AE103+AE104)*5%</f>
        <v>25308</v>
      </c>
      <c r="AF105" s="446">
        <f t="shared" si="71"/>
        <v>26320.320000000003</v>
      </c>
      <c r="AG105" s="446">
        <f t="shared" ref="AG105:AJ105" si="72">(AG103+AG104)*5%</f>
        <v>12060</v>
      </c>
      <c r="AH105" s="446">
        <f t="shared" si="72"/>
        <v>12542.400000000001</v>
      </c>
      <c r="AI105" s="446">
        <f t="shared" si="72"/>
        <v>38696</v>
      </c>
      <c r="AJ105" s="446">
        <f t="shared" si="72"/>
        <v>40243.839999999997</v>
      </c>
      <c r="AK105" s="446">
        <f t="shared" ref="AK105:AN105" si="73">(AK103+AK104)*5%</f>
        <v>14772</v>
      </c>
      <c r="AL105" s="446">
        <f t="shared" si="73"/>
        <v>15362.88</v>
      </c>
      <c r="AM105" s="446">
        <f t="shared" si="73"/>
        <v>19536</v>
      </c>
      <c r="AN105" s="446">
        <f t="shared" si="73"/>
        <v>20317.440000000002</v>
      </c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446">
        <f>(BK103+BK104)*5%</f>
        <v>0</v>
      </c>
      <c r="BL105" s="446">
        <f>(BL103+BL104)*5%</f>
        <v>0</v>
      </c>
      <c r="BM105" s="446">
        <f t="shared" ref="BM105:BN105" si="74">(BM103+BM104)*5%</f>
        <v>22296</v>
      </c>
      <c r="BN105" s="446">
        <f t="shared" si="74"/>
        <v>23187.84</v>
      </c>
      <c r="BO105" s="446">
        <f>(BO103+BO104)*5%</f>
        <v>48390</v>
      </c>
      <c r="BP105" s="446">
        <f>(BP103+BP104)*5%</f>
        <v>50325.600000000006</v>
      </c>
    </row>
    <row r="106" spans="1:68" x14ac:dyDescent="0.2">
      <c r="A106" s="169"/>
      <c r="B106" s="170"/>
      <c r="C106" s="202"/>
      <c r="D106" s="203" t="s">
        <v>22</v>
      </c>
      <c r="E106" s="230">
        <f>SUM(E107:E110)</f>
        <v>4071124</v>
      </c>
      <c r="F106" s="230">
        <f>SUM(F107:F110)</f>
        <v>3493600</v>
      </c>
      <c r="G106" s="230">
        <f>SUM(G107:G110)</f>
        <v>201960</v>
      </c>
      <c r="H106" s="230">
        <f>SUM(H107:H110)</f>
        <v>212000</v>
      </c>
      <c r="I106" s="230">
        <f t="shared" ref="I106:Z106" si="75">SUM(I107:I110)</f>
        <v>183600</v>
      </c>
      <c r="J106" s="230">
        <f t="shared" si="75"/>
        <v>174000</v>
      </c>
      <c r="K106" s="230">
        <f t="shared" si="75"/>
        <v>219276</v>
      </c>
      <c r="L106" s="230">
        <f t="shared" si="75"/>
        <v>174000</v>
      </c>
      <c r="M106" s="230">
        <f t="shared" si="75"/>
        <v>247200</v>
      </c>
      <c r="N106" s="230">
        <f t="shared" si="75"/>
        <v>241200</v>
      </c>
      <c r="O106" s="230">
        <f t="shared" si="75"/>
        <v>218780</v>
      </c>
      <c r="P106" s="230">
        <f t="shared" si="75"/>
        <v>207600</v>
      </c>
      <c r="Q106" s="230">
        <f t="shared" si="75"/>
        <v>263140</v>
      </c>
      <c r="R106" s="230">
        <f t="shared" si="75"/>
        <v>218400</v>
      </c>
      <c r="S106" s="230">
        <f t="shared" si="75"/>
        <v>188688</v>
      </c>
      <c r="T106" s="230">
        <f t="shared" si="75"/>
        <v>212000</v>
      </c>
      <c r="U106" s="230">
        <f t="shared" si="75"/>
        <v>259320</v>
      </c>
      <c r="V106" s="230">
        <f t="shared" si="75"/>
        <v>184400</v>
      </c>
      <c r="W106" s="230">
        <f t="shared" si="75"/>
        <v>411920</v>
      </c>
      <c r="X106" s="230">
        <f t="shared" si="75"/>
        <v>188000</v>
      </c>
      <c r="Y106" s="230">
        <f t="shared" si="75"/>
        <v>167180</v>
      </c>
      <c r="Z106" s="230">
        <f t="shared" si="75"/>
        <v>156000</v>
      </c>
      <c r="AA106" s="230">
        <f t="shared" ref="AA106:BN106" si="76">SUM(AA107:AA110)</f>
        <v>217770</v>
      </c>
      <c r="AB106" s="230">
        <f t="shared" si="76"/>
        <v>207600</v>
      </c>
      <c r="AC106" s="230">
        <f t="shared" si="76"/>
        <v>227140</v>
      </c>
      <c r="AD106" s="230">
        <f t="shared" si="76"/>
        <v>227600</v>
      </c>
      <c r="AE106" s="230">
        <f t="shared" si="76"/>
        <v>250970</v>
      </c>
      <c r="AF106" s="230">
        <f t="shared" si="76"/>
        <v>182400</v>
      </c>
      <c r="AG106" s="230">
        <f t="shared" si="76"/>
        <v>199770</v>
      </c>
      <c r="AH106" s="230">
        <f t="shared" si="76"/>
        <v>156000</v>
      </c>
      <c r="AI106" s="230">
        <f t="shared" si="76"/>
        <v>283270</v>
      </c>
      <c r="AJ106" s="230">
        <f t="shared" si="76"/>
        <v>254400</v>
      </c>
      <c r="AK106" s="230">
        <f t="shared" si="76"/>
        <v>130660</v>
      </c>
      <c r="AL106" s="230">
        <f t="shared" si="76"/>
        <v>156000</v>
      </c>
      <c r="AM106" s="230">
        <f t="shared" si="76"/>
        <v>165120</v>
      </c>
      <c r="AN106" s="230">
        <f t="shared" si="76"/>
        <v>168000</v>
      </c>
      <c r="AO106" s="230">
        <f t="shared" si="76"/>
        <v>0</v>
      </c>
      <c r="AP106" s="230">
        <f t="shared" si="76"/>
        <v>0</v>
      </c>
      <c r="AQ106" s="230">
        <f t="shared" si="76"/>
        <v>0</v>
      </c>
      <c r="AR106" s="230">
        <f t="shared" si="76"/>
        <v>0</v>
      </c>
      <c r="AS106" s="230">
        <f t="shared" si="76"/>
        <v>0</v>
      </c>
      <c r="AT106" s="230">
        <f t="shared" si="76"/>
        <v>0</v>
      </c>
      <c r="AU106" s="230">
        <f t="shared" si="76"/>
        <v>0</v>
      </c>
      <c r="AV106" s="230">
        <f t="shared" si="76"/>
        <v>0</v>
      </c>
      <c r="AW106" s="230">
        <f t="shared" si="76"/>
        <v>0</v>
      </c>
      <c r="AX106" s="230">
        <f t="shared" si="76"/>
        <v>0</v>
      </c>
      <c r="AY106" s="230">
        <f t="shared" si="76"/>
        <v>0</v>
      </c>
      <c r="AZ106" s="230">
        <f t="shared" si="76"/>
        <v>0</v>
      </c>
      <c r="BA106" s="230">
        <f t="shared" si="76"/>
        <v>0</v>
      </c>
      <c r="BB106" s="230">
        <f t="shared" si="76"/>
        <v>0</v>
      </c>
      <c r="BC106" s="230">
        <f t="shared" si="76"/>
        <v>0</v>
      </c>
      <c r="BD106" s="230">
        <f t="shared" si="76"/>
        <v>0</v>
      </c>
      <c r="BE106" s="230">
        <f t="shared" si="76"/>
        <v>0</v>
      </c>
      <c r="BF106" s="230">
        <f t="shared" si="76"/>
        <v>0</v>
      </c>
      <c r="BG106" s="230">
        <f t="shared" si="76"/>
        <v>0</v>
      </c>
      <c r="BH106" s="230">
        <f t="shared" si="76"/>
        <v>0</v>
      </c>
      <c r="BI106" s="230">
        <f t="shared" si="76"/>
        <v>0</v>
      </c>
      <c r="BJ106" s="230">
        <f t="shared" si="76"/>
        <v>0</v>
      </c>
      <c r="BK106" s="230">
        <f t="shared" si="76"/>
        <v>0</v>
      </c>
      <c r="BL106" s="230">
        <f t="shared" si="76"/>
        <v>0</v>
      </c>
      <c r="BM106" s="230">
        <f t="shared" si="76"/>
        <v>235360</v>
      </c>
      <c r="BN106" s="230">
        <f t="shared" si="76"/>
        <v>174000</v>
      </c>
      <c r="BO106" s="230">
        <f>SUM(BO107:BO110)</f>
        <v>0</v>
      </c>
      <c r="BP106" s="230">
        <f>SUM(BP107:BP110)</f>
        <v>0</v>
      </c>
    </row>
    <row r="107" spans="1:68" x14ac:dyDescent="0.2">
      <c r="A107" s="25"/>
      <c r="B107" s="26"/>
      <c r="C107" s="27"/>
      <c r="D107" s="28" t="s">
        <v>23</v>
      </c>
      <c r="E107" s="381">
        <f t="shared" ref="E107:F112" si="77">SUMIF($G$2:$BP$2,E$2,($G107:$BP107))</f>
        <v>16000</v>
      </c>
      <c r="F107" s="381">
        <f t="shared" si="77"/>
        <v>12000</v>
      </c>
      <c r="G107" s="446">
        <v>0</v>
      </c>
      <c r="H107" s="447">
        <v>0</v>
      </c>
      <c r="I107" s="447">
        <v>0</v>
      </c>
      <c r="J107" s="447">
        <v>0</v>
      </c>
      <c r="K107" s="447">
        <v>0</v>
      </c>
      <c r="L107" s="447">
        <v>0</v>
      </c>
      <c r="M107" s="447">
        <v>0</v>
      </c>
      <c r="N107" s="447">
        <v>0</v>
      </c>
      <c r="O107" s="447">
        <v>12000</v>
      </c>
      <c r="P107" s="447">
        <v>12000</v>
      </c>
      <c r="Q107" s="447">
        <v>0</v>
      </c>
      <c r="R107" s="447">
        <v>0</v>
      </c>
      <c r="S107" s="447">
        <v>0</v>
      </c>
      <c r="T107" s="447">
        <v>0</v>
      </c>
      <c r="U107" s="447">
        <v>0</v>
      </c>
      <c r="V107" s="447">
        <v>0</v>
      </c>
      <c r="W107" s="447">
        <v>0</v>
      </c>
      <c r="X107" s="447">
        <v>0</v>
      </c>
      <c r="Y107" s="447">
        <v>0</v>
      </c>
      <c r="Z107" s="447">
        <v>0</v>
      </c>
      <c r="AA107" s="440">
        <v>0</v>
      </c>
      <c r="AB107" s="440">
        <v>0</v>
      </c>
      <c r="AC107" s="447">
        <v>0</v>
      </c>
      <c r="AD107" s="447">
        <v>0</v>
      </c>
      <c r="AE107" s="440">
        <v>0</v>
      </c>
      <c r="AF107" s="440">
        <v>0</v>
      </c>
      <c r="AG107" s="440">
        <v>0</v>
      </c>
      <c r="AH107" s="440">
        <v>0</v>
      </c>
      <c r="AI107" s="447">
        <v>4000</v>
      </c>
      <c r="AJ107" s="447">
        <v>0</v>
      </c>
      <c r="AK107" s="440">
        <v>0</v>
      </c>
      <c r="AL107" s="440">
        <v>0</v>
      </c>
      <c r="AM107" s="447">
        <v>0</v>
      </c>
      <c r="AN107" s="447">
        <v>0</v>
      </c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447">
        <v>0</v>
      </c>
      <c r="BL107" s="447">
        <v>0</v>
      </c>
      <c r="BM107" s="440">
        <v>0</v>
      </c>
      <c r="BN107" s="440">
        <v>0</v>
      </c>
      <c r="BO107" s="447">
        <v>0</v>
      </c>
      <c r="BP107" s="447">
        <v>0</v>
      </c>
    </row>
    <row r="108" spans="1:68" x14ac:dyDescent="0.2">
      <c r="A108" s="25"/>
      <c r="B108" s="26"/>
      <c r="C108" s="27"/>
      <c r="D108" s="469" t="s">
        <v>719</v>
      </c>
      <c r="E108" s="381">
        <f t="shared" si="77"/>
        <v>1098000</v>
      </c>
      <c r="F108" s="381">
        <f t="shared" si="77"/>
        <v>1131600</v>
      </c>
      <c r="G108" s="446">
        <f>(6000*12)</f>
        <v>72000</v>
      </c>
      <c r="H108" s="446">
        <f>(6000*12)</f>
        <v>72000</v>
      </c>
      <c r="I108" s="447">
        <f>(4500*12)</f>
        <v>54000</v>
      </c>
      <c r="J108" s="447">
        <f>(4500*12)</f>
        <v>54000</v>
      </c>
      <c r="K108" s="447">
        <f>54000</f>
        <v>54000</v>
      </c>
      <c r="L108" s="447">
        <f>54000</f>
        <v>54000</v>
      </c>
      <c r="M108" s="447">
        <f>(7600*12)</f>
        <v>91200</v>
      </c>
      <c r="N108" s="447">
        <f>(7600*12)</f>
        <v>91200</v>
      </c>
      <c r="O108" s="447">
        <v>75600</v>
      </c>
      <c r="P108" s="447">
        <v>75600</v>
      </c>
      <c r="Q108" s="447">
        <f>(5700*12)</f>
        <v>68400</v>
      </c>
      <c r="R108" s="447">
        <f>(5700*12)</f>
        <v>68400</v>
      </c>
      <c r="S108" s="447">
        <f>(6000*12)</f>
        <v>72000</v>
      </c>
      <c r="T108" s="447">
        <f>(6000*12)</f>
        <v>72000</v>
      </c>
      <c r="U108" s="447">
        <f>(3700*12)</f>
        <v>44400</v>
      </c>
      <c r="V108" s="447">
        <f>(3700*12)</f>
        <v>44400</v>
      </c>
      <c r="W108" s="447">
        <f>(4000*12)</f>
        <v>48000</v>
      </c>
      <c r="X108" s="447">
        <f>(4000*12)</f>
        <v>48000</v>
      </c>
      <c r="Y108" s="447">
        <f>(3000*12)</f>
        <v>36000</v>
      </c>
      <c r="Z108" s="447">
        <f>(3000*12)</f>
        <v>36000</v>
      </c>
      <c r="AA108" s="440">
        <f>(4500*12)</f>
        <v>54000</v>
      </c>
      <c r="AB108" s="440">
        <v>87600</v>
      </c>
      <c r="AC108" s="447">
        <f>(7300*12)</f>
        <v>87600</v>
      </c>
      <c r="AD108" s="447">
        <f>(7300*12)</f>
        <v>87600</v>
      </c>
      <c r="AE108" s="440">
        <f>(5200*12)</f>
        <v>62400</v>
      </c>
      <c r="AF108" s="440">
        <f>(5200*12)</f>
        <v>62400</v>
      </c>
      <c r="AG108" s="440">
        <f>(3000*12)</f>
        <v>36000</v>
      </c>
      <c r="AH108" s="440">
        <f>(3000*12)</f>
        <v>36000</v>
      </c>
      <c r="AI108" s="447">
        <f>(104400/12)*12</f>
        <v>104400</v>
      </c>
      <c r="AJ108" s="447">
        <f>(104400/12)*12</f>
        <v>104400</v>
      </c>
      <c r="AK108" s="440">
        <f>(3000*12)</f>
        <v>36000</v>
      </c>
      <c r="AL108" s="440">
        <f>(3000*12)</f>
        <v>36000</v>
      </c>
      <c r="AM108" s="447">
        <f>(4000*12)</f>
        <v>48000</v>
      </c>
      <c r="AN108" s="447">
        <f>(4000*12)</f>
        <v>48000</v>
      </c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447">
        <v>0</v>
      </c>
      <c r="BL108" s="447">
        <v>0</v>
      </c>
      <c r="BM108" s="440">
        <f>(4500*12)</f>
        <v>54000</v>
      </c>
      <c r="BN108" s="440">
        <f>(4500*12)</f>
        <v>54000</v>
      </c>
      <c r="BO108" s="447">
        <v>0</v>
      </c>
      <c r="BP108" s="447">
        <v>0</v>
      </c>
    </row>
    <row r="109" spans="1:68" s="2" customFormat="1" x14ac:dyDescent="0.2">
      <c r="A109" s="25"/>
      <c r="B109" s="26"/>
      <c r="C109" s="27"/>
      <c r="D109" s="28" t="s">
        <v>720</v>
      </c>
      <c r="E109" s="381">
        <f t="shared" si="77"/>
        <v>0</v>
      </c>
      <c r="F109" s="381">
        <f t="shared" si="77"/>
        <v>0</v>
      </c>
      <c r="G109" s="446">
        <v>0</v>
      </c>
      <c r="H109" s="447">
        <v>0</v>
      </c>
      <c r="I109" s="447">
        <v>0</v>
      </c>
      <c r="J109" s="447">
        <v>0</v>
      </c>
      <c r="K109" s="447">
        <v>0</v>
      </c>
      <c r="L109" s="447">
        <v>0</v>
      </c>
      <c r="M109" s="447">
        <v>0</v>
      </c>
      <c r="N109" s="447">
        <v>0</v>
      </c>
      <c r="O109" s="447">
        <v>0</v>
      </c>
      <c r="P109" s="447">
        <v>0</v>
      </c>
      <c r="Q109" s="447"/>
      <c r="R109" s="447"/>
      <c r="S109" s="447"/>
      <c r="T109" s="447"/>
      <c r="U109" s="447"/>
      <c r="V109" s="447"/>
      <c r="W109" s="447">
        <v>0</v>
      </c>
      <c r="X109" s="447">
        <v>0</v>
      </c>
      <c r="Y109" s="447"/>
      <c r="Z109" s="447"/>
      <c r="AA109" s="440">
        <v>0</v>
      </c>
      <c r="AB109" s="440">
        <v>0</v>
      </c>
      <c r="AC109" s="447">
        <v>0</v>
      </c>
      <c r="AD109" s="447">
        <v>0</v>
      </c>
      <c r="AE109" s="440">
        <v>0</v>
      </c>
      <c r="AF109" s="440">
        <v>0</v>
      </c>
      <c r="AG109" s="440">
        <v>0</v>
      </c>
      <c r="AH109" s="440">
        <v>0</v>
      </c>
      <c r="AI109" s="447">
        <v>0</v>
      </c>
      <c r="AJ109" s="447">
        <v>0</v>
      </c>
      <c r="AK109" s="440">
        <v>0</v>
      </c>
      <c r="AL109" s="440">
        <v>0</v>
      </c>
      <c r="AM109" s="447">
        <v>0</v>
      </c>
      <c r="AN109" s="447">
        <v>0</v>
      </c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447">
        <v>0</v>
      </c>
      <c r="BL109" s="447">
        <v>0</v>
      </c>
      <c r="BM109" s="440">
        <f>SUMIF($G$2:$AR$2,BM$2,($G109:$AR109))</f>
        <v>0</v>
      </c>
      <c r="BN109" s="440">
        <f>SUMIF($G$2:$AR$2,BN$2,($G109:$AR109))</f>
        <v>0</v>
      </c>
      <c r="BO109" s="447">
        <v>0</v>
      </c>
      <c r="BP109" s="447">
        <v>0</v>
      </c>
    </row>
    <row r="110" spans="1:68" s="489" customFormat="1" x14ac:dyDescent="0.2">
      <c r="A110" s="482"/>
      <c r="B110" s="483"/>
      <c r="C110" s="484"/>
      <c r="D110" s="469" t="s">
        <v>75</v>
      </c>
      <c r="E110" s="485">
        <f t="shared" si="77"/>
        <v>2957124</v>
      </c>
      <c r="F110" s="485">
        <f t="shared" si="77"/>
        <v>2350000</v>
      </c>
      <c r="G110" s="486">
        <f>109960+10000+10000</f>
        <v>129960</v>
      </c>
      <c r="H110" s="453">
        <v>140000</v>
      </c>
      <c r="I110" s="453">
        <v>129600</v>
      </c>
      <c r="J110" s="453">
        <v>120000</v>
      </c>
      <c r="K110" s="453">
        <v>165276</v>
      </c>
      <c r="L110" s="453">
        <v>120000</v>
      </c>
      <c r="M110" s="453">
        <v>156000</v>
      </c>
      <c r="N110" s="453">
        <v>150000</v>
      </c>
      <c r="O110" s="453">
        <v>131180</v>
      </c>
      <c r="P110" s="453">
        <v>120000</v>
      </c>
      <c r="Q110" s="453">
        <v>194740</v>
      </c>
      <c r="R110" s="453">
        <v>150000</v>
      </c>
      <c r="S110" s="453">
        <v>116688</v>
      </c>
      <c r="T110" s="453">
        <v>140000</v>
      </c>
      <c r="U110" s="453">
        <v>214920</v>
      </c>
      <c r="V110" s="453">
        <v>140000</v>
      </c>
      <c r="W110" s="453">
        <v>363920</v>
      </c>
      <c r="X110" s="453">
        <v>140000</v>
      </c>
      <c r="Y110" s="453">
        <v>131180</v>
      </c>
      <c r="Z110" s="453">
        <v>120000</v>
      </c>
      <c r="AA110" s="487">
        <v>163770</v>
      </c>
      <c r="AB110" s="487">
        <v>120000</v>
      </c>
      <c r="AC110" s="453">
        <v>139540</v>
      </c>
      <c r="AD110" s="453">
        <v>140000</v>
      </c>
      <c r="AE110" s="487">
        <v>188570</v>
      </c>
      <c r="AF110" s="487">
        <v>120000</v>
      </c>
      <c r="AG110" s="487">
        <v>163770</v>
      </c>
      <c r="AH110" s="487">
        <v>120000</v>
      </c>
      <c r="AI110" s="453">
        <v>174870</v>
      </c>
      <c r="AJ110" s="453">
        <v>150000</v>
      </c>
      <c r="AK110" s="487">
        <v>94660</v>
      </c>
      <c r="AL110" s="487">
        <v>120000</v>
      </c>
      <c r="AM110" s="453">
        <v>117120</v>
      </c>
      <c r="AN110" s="453">
        <v>120000</v>
      </c>
      <c r="AO110" s="488"/>
      <c r="AP110" s="488"/>
      <c r="AQ110" s="488"/>
      <c r="AR110" s="488"/>
      <c r="AS110" s="488"/>
      <c r="AT110" s="488"/>
      <c r="AU110" s="488"/>
      <c r="AV110" s="488"/>
      <c r="AW110" s="488"/>
      <c r="AX110" s="488"/>
      <c r="AY110" s="488"/>
      <c r="AZ110" s="488"/>
      <c r="BA110" s="488"/>
      <c r="BB110" s="488"/>
      <c r="BC110" s="488"/>
      <c r="BD110" s="488"/>
      <c r="BE110" s="488"/>
      <c r="BF110" s="488"/>
      <c r="BG110" s="488"/>
      <c r="BH110" s="488"/>
      <c r="BI110" s="488"/>
      <c r="BJ110" s="488"/>
      <c r="BK110" s="453">
        <v>0</v>
      </c>
      <c r="BL110" s="453">
        <v>0</v>
      </c>
      <c r="BM110" s="487">
        <v>181360</v>
      </c>
      <c r="BN110" s="487">
        <v>120000</v>
      </c>
      <c r="BO110" s="453">
        <v>0</v>
      </c>
      <c r="BP110" s="453">
        <v>0</v>
      </c>
    </row>
    <row r="111" spans="1:68" x14ac:dyDescent="0.2">
      <c r="A111" s="25"/>
      <c r="B111" s="26"/>
      <c r="C111" s="27"/>
      <c r="D111" s="28" t="s">
        <v>1185</v>
      </c>
      <c r="E111" s="381">
        <f t="shared" si="77"/>
        <v>0</v>
      </c>
      <c r="F111" s="381">
        <f t="shared" si="77"/>
        <v>0</v>
      </c>
      <c r="G111" s="446">
        <v>0</v>
      </c>
      <c r="H111" s="447">
        <v>0</v>
      </c>
      <c r="I111" s="447">
        <v>0</v>
      </c>
      <c r="J111" s="447">
        <v>0</v>
      </c>
      <c r="K111" s="447">
        <v>0</v>
      </c>
      <c r="L111" s="447">
        <v>0</v>
      </c>
      <c r="M111" s="447"/>
      <c r="N111" s="447"/>
      <c r="O111" s="6"/>
      <c r="P111" s="6"/>
      <c r="Q111" s="447"/>
      <c r="R111" s="447"/>
      <c r="S111" s="447"/>
      <c r="T111" s="447"/>
      <c r="U111" s="447"/>
      <c r="V111" s="447"/>
      <c r="W111" s="447">
        <v>0</v>
      </c>
      <c r="X111" s="447">
        <v>0</v>
      </c>
      <c r="Y111" s="447"/>
      <c r="Z111" s="447"/>
      <c r="AA111" s="440">
        <v>0</v>
      </c>
      <c r="AB111" s="440">
        <v>0</v>
      </c>
      <c r="AC111" s="447">
        <v>0</v>
      </c>
      <c r="AD111" s="447">
        <v>0</v>
      </c>
      <c r="AE111" s="440">
        <v>0</v>
      </c>
      <c r="AF111" s="440">
        <v>0</v>
      </c>
      <c r="AG111" s="440">
        <v>0</v>
      </c>
      <c r="AH111" s="440">
        <v>0</v>
      </c>
      <c r="AI111" s="447">
        <v>0</v>
      </c>
      <c r="AJ111" s="447">
        <v>0</v>
      </c>
      <c r="AK111" s="440">
        <v>0</v>
      </c>
      <c r="AL111" s="440">
        <v>0</v>
      </c>
      <c r="AM111" s="447">
        <v>0</v>
      </c>
      <c r="AN111" s="447">
        <v>0</v>
      </c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447">
        <v>0</v>
      </c>
      <c r="BL111" s="447">
        <v>0</v>
      </c>
      <c r="BM111" s="440">
        <f>SUMIF($G$2:$AR$2,BM$2,($G111:$AR111))</f>
        <v>0</v>
      </c>
      <c r="BN111" s="440">
        <f>SUMIF($G$2:$AR$2,BN$2,($G111:$AR111))</f>
        <v>0</v>
      </c>
      <c r="BO111" s="447">
        <v>0</v>
      </c>
      <c r="BP111" s="447">
        <v>0</v>
      </c>
    </row>
    <row r="112" spans="1:68" x14ac:dyDescent="0.2">
      <c r="A112" s="25"/>
      <c r="B112" s="26"/>
      <c r="C112" s="27"/>
      <c r="D112" s="28" t="s">
        <v>61</v>
      </c>
      <c r="E112" s="381">
        <f t="shared" si="77"/>
        <v>0</v>
      </c>
      <c r="F112" s="381">
        <f t="shared" si="77"/>
        <v>0</v>
      </c>
      <c r="G112" s="446">
        <v>0</v>
      </c>
      <c r="H112" s="447">
        <v>0</v>
      </c>
      <c r="I112" s="447">
        <v>0</v>
      </c>
      <c r="J112" s="447">
        <v>0</v>
      </c>
      <c r="K112" s="447">
        <v>0</v>
      </c>
      <c r="L112" s="447">
        <v>0</v>
      </c>
      <c r="M112" s="447"/>
      <c r="N112" s="447"/>
      <c r="O112" s="6"/>
      <c r="P112" s="6"/>
      <c r="Q112" s="447"/>
      <c r="R112" s="447"/>
      <c r="S112" s="447"/>
      <c r="T112" s="447"/>
      <c r="U112" s="447"/>
      <c r="V112" s="447"/>
      <c r="W112" s="447">
        <v>0</v>
      </c>
      <c r="X112" s="447">
        <v>0</v>
      </c>
      <c r="Y112" s="447"/>
      <c r="Z112" s="447"/>
      <c r="AA112" s="440">
        <v>0</v>
      </c>
      <c r="AB112" s="440">
        <v>0</v>
      </c>
      <c r="AC112" s="447">
        <v>0</v>
      </c>
      <c r="AD112" s="447">
        <v>0</v>
      </c>
      <c r="AE112" s="440">
        <v>0</v>
      </c>
      <c r="AF112" s="440">
        <v>0</v>
      </c>
      <c r="AG112" s="440">
        <v>0</v>
      </c>
      <c r="AH112" s="440">
        <v>0</v>
      </c>
      <c r="AI112" s="447">
        <v>0</v>
      </c>
      <c r="AJ112" s="447">
        <v>0</v>
      </c>
      <c r="AK112" s="440">
        <v>0</v>
      </c>
      <c r="AL112" s="440">
        <v>0</v>
      </c>
      <c r="AM112" s="447">
        <v>0</v>
      </c>
      <c r="AN112" s="447">
        <v>0</v>
      </c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447">
        <v>0</v>
      </c>
      <c r="BL112" s="447">
        <v>0</v>
      </c>
      <c r="BM112" s="440">
        <f>SUMIF($G$2:$AR$2,BM$2,($G112:$AR112))</f>
        <v>0</v>
      </c>
      <c r="BN112" s="440">
        <f>SUMIF($G$2:$AR$2,BN$2,($G112:$AR112))</f>
        <v>0</v>
      </c>
      <c r="BO112" s="447">
        <v>0</v>
      </c>
      <c r="BP112" s="447">
        <v>0</v>
      </c>
    </row>
    <row r="113" spans="1:69" s="2" customFormat="1" x14ac:dyDescent="0.2">
      <c r="A113" s="149">
        <v>2</v>
      </c>
      <c r="B113" s="153" t="s">
        <v>25</v>
      </c>
      <c r="C113" s="154"/>
      <c r="D113" s="142"/>
      <c r="E113" s="155">
        <f>SUM(E114:E115)</f>
        <v>18890388.203599997</v>
      </c>
      <c r="F113" s="155">
        <f>SUM(F114:F115)</f>
        <v>17999212.600000001</v>
      </c>
      <c r="G113" s="155">
        <f>SUM(G114:G115)</f>
        <v>952528.03300000005</v>
      </c>
      <c r="H113" s="155">
        <f>SUM(H114:H115)</f>
        <v>946800</v>
      </c>
      <c r="I113" s="155">
        <f t="shared" ref="I113:Z113" si="78">SUM(I114:I115)</f>
        <v>557140.49040000001</v>
      </c>
      <c r="J113" s="155">
        <f t="shared" si="78"/>
        <v>634787</v>
      </c>
      <c r="K113" s="155">
        <f t="shared" si="78"/>
        <v>781251.26980000013</v>
      </c>
      <c r="L113" s="155">
        <f t="shared" si="78"/>
        <v>828361</v>
      </c>
      <c r="M113" s="155">
        <f t="shared" si="78"/>
        <v>1067246.06</v>
      </c>
      <c r="N113" s="155">
        <f t="shared" si="78"/>
        <v>1162402</v>
      </c>
      <c r="O113" s="155">
        <f t="shared" si="78"/>
        <v>516942</v>
      </c>
      <c r="P113" s="155">
        <f t="shared" si="78"/>
        <v>468403</v>
      </c>
      <c r="Q113" s="155">
        <f t="shared" si="78"/>
        <v>1332518.3900000001</v>
      </c>
      <c r="R113" s="155">
        <f t="shared" si="78"/>
        <v>975225.6</v>
      </c>
      <c r="S113" s="155">
        <f t="shared" si="78"/>
        <v>1343022.8419999999</v>
      </c>
      <c r="T113" s="155">
        <f t="shared" si="78"/>
        <v>1083799</v>
      </c>
      <c r="U113" s="155">
        <f t="shared" si="78"/>
        <v>1023508.97</v>
      </c>
      <c r="V113" s="155">
        <f t="shared" si="78"/>
        <v>1091968</v>
      </c>
      <c r="W113" s="155">
        <f t="shared" si="78"/>
        <v>779862.40999999992</v>
      </c>
      <c r="X113" s="155">
        <f t="shared" si="78"/>
        <v>833440</v>
      </c>
      <c r="Y113" s="155">
        <f t="shared" si="78"/>
        <v>762727.14</v>
      </c>
      <c r="Z113" s="155">
        <f t="shared" si="78"/>
        <v>690671</v>
      </c>
      <c r="AA113" s="155">
        <f t="shared" ref="AA113:BN113" si="79">SUM(AA114:AA115)</f>
        <v>935962</v>
      </c>
      <c r="AB113" s="155">
        <f t="shared" si="79"/>
        <v>523708</v>
      </c>
      <c r="AC113" s="155">
        <f t="shared" si="79"/>
        <v>1142117</v>
      </c>
      <c r="AD113" s="155">
        <f t="shared" si="79"/>
        <v>1198917</v>
      </c>
      <c r="AE113" s="155">
        <f t="shared" si="79"/>
        <v>1222537</v>
      </c>
      <c r="AF113" s="155">
        <f t="shared" si="79"/>
        <v>839441</v>
      </c>
      <c r="AG113" s="155">
        <f t="shared" si="79"/>
        <v>863296.35</v>
      </c>
      <c r="AH113" s="155">
        <f t="shared" si="79"/>
        <v>546862</v>
      </c>
      <c r="AI113" s="155">
        <f t="shared" si="79"/>
        <v>1062802.6387999998</v>
      </c>
      <c r="AJ113" s="155">
        <f t="shared" si="79"/>
        <v>1440471</v>
      </c>
      <c r="AK113" s="155">
        <f t="shared" si="79"/>
        <v>501205.74960000004</v>
      </c>
      <c r="AL113" s="155">
        <f t="shared" si="79"/>
        <v>472100</v>
      </c>
      <c r="AM113" s="155">
        <f t="shared" si="79"/>
        <v>1065259.1499999999</v>
      </c>
      <c r="AN113" s="155">
        <f t="shared" si="79"/>
        <v>1018779</v>
      </c>
      <c r="AO113" s="155">
        <f t="shared" si="79"/>
        <v>0</v>
      </c>
      <c r="AP113" s="155">
        <f t="shared" si="79"/>
        <v>0</v>
      </c>
      <c r="AQ113" s="155">
        <f t="shared" si="79"/>
        <v>0</v>
      </c>
      <c r="AR113" s="155">
        <f t="shared" si="79"/>
        <v>0</v>
      </c>
      <c r="AS113" s="155">
        <f t="shared" si="79"/>
        <v>0</v>
      </c>
      <c r="AT113" s="155">
        <f t="shared" si="79"/>
        <v>0</v>
      </c>
      <c r="AU113" s="155">
        <f t="shared" si="79"/>
        <v>0</v>
      </c>
      <c r="AV113" s="155">
        <f t="shared" si="79"/>
        <v>0</v>
      </c>
      <c r="AW113" s="155">
        <f t="shared" si="79"/>
        <v>0</v>
      </c>
      <c r="AX113" s="155">
        <f t="shared" si="79"/>
        <v>0</v>
      </c>
      <c r="AY113" s="155">
        <f t="shared" si="79"/>
        <v>0</v>
      </c>
      <c r="AZ113" s="155">
        <f t="shared" si="79"/>
        <v>0</v>
      </c>
      <c r="BA113" s="155">
        <f t="shared" si="79"/>
        <v>0</v>
      </c>
      <c r="BB113" s="155">
        <f t="shared" si="79"/>
        <v>0</v>
      </c>
      <c r="BC113" s="155">
        <f t="shared" si="79"/>
        <v>0</v>
      </c>
      <c r="BD113" s="155">
        <f t="shared" si="79"/>
        <v>0</v>
      </c>
      <c r="BE113" s="155">
        <f t="shared" si="79"/>
        <v>0</v>
      </c>
      <c r="BF113" s="155">
        <f t="shared" si="79"/>
        <v>0</v>
      </c>
      <c r="BG113" s="155">
        <f t="shared" si="79"/>
        <v>0</v>
      </c>
      <c r="BH113" s="155">
        <f t="shared" si="79"/>
        <v>0</v>
      </c>
      <c r="BI113" s="155">
        <f t="shared" si="79"/>
        <v>0</v>
      </c>
      <c r="BJ113" s="155">
        <f t="shared" si="79"/>
        <v>0</v>
      </c>
      <c r="BK113" s="155">
        <f t="shared" si="79"/>
        <v>0</v>
      </c>
      <c r="BL113" s="155">
        <f t="shared" si="79"/>
        <v>578836</v>
      </c>
      <c r="BM113" s="155">
        <f t="shared" si="79"/>
        <v>1284016.1299999999</v>
      </c>
      <c r="BN113" s="155">
        <f t="shared" si="79"/>
        <v>1002762</v>
      </c>
      <c r="BO113" s="155">
        <f>SUM(BO114:BO115)</f>
        <v>1696444.58</v>
      </c>
      <c r="BP113" s="155">
        <f>SUM(BP114:BP115)</f>
        <v>1661480</v>
      </c>
    </row>
    <row r="114" spans="1:69" x14ac:dyDescent="0.2">
      <c r="A114" s="187"/>
      <c r="B114" s="188" t="s">
        <v>1235</v>
      </c>
      <c r="C114" s="189"/>
      <c r="D114" s="190"/>
      <c r="E114" s="450">
        <f>SUMIF($G$2:$BP$2,E$2,($G114:$BP114))</f>
        <v>30000</v>
      </c>
      <c r="F114" s="450">
        <f>SUMIF($G$2:$BP$2,F$2,($G114:$BP114))</f>
        <v>0</v>
      </c>
      <c r="G114" s="451"/>
      <c r="H114" s="451"/>
      <c r="I114" s="191"/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  <c r="BH114" s="191"/>
      <c r="BI114" s="191"/>
      <c r="BJ114" s="191"/>
      <c r="BK114" s="191"/>
      <c r="BL114" s="191"/>
      <c r="BM114" s="191"/>
      <c r="BN114" s="191"/>
      <c r="BO114" s="460">
        <v>30000</v>
      </c>
      <c r="BP114" s="460"/>
    </row>
    <row r="115" spans="1:69" x14ac:dyDescent="0.2">
      <c r="A115" s="183"/>
      <c r="B115" s="192" t="s">
        <v>26</v>
      </c>
      <c r="C115" s="192"/>
      <c r="D115" s="193"/>
      <c r="E115" s="194">
        <f>SUM(E116,E125,E130,E142,E144,E149,E154,E158)</f>
        <v>18860388.203599997</v>
      </c>
      <c r="F115" s="194">
        <f>SUM(F116,F125,F130,F142,F144,F149,F154,F158)</f>
        <v>17999212.600000001</v>
      </c>
      <c r="G115" s="194">
        <f>SUM(G116,G125,G130,G142,G144,G149,G154,G158)</f>
        <v>952528.03300000005</v>
      </c>
      <c r="H115" s="194">
        <f>SUM(H116,H125,H130,H142,H144,H149,H154,H158)</f>
        <v>946800</v>
      </c>
      <c r="I115" s="194">
        <f t="shared" ref="I115:Z115" si="80">SUM(I116,I125,I130,I142,I144,I149,I154,I158)</f>
        <v>557140.49040000001</v>
      </c>
      <c r="J115" s="194">
        <f t="shared" si="80"/>
        <v>634787</v>
      </c>
      <c r="K115" s="194">
        <f t="shared" si="80"/>
        <v>781251.26980000013</v>
      </c>
      <c r="L115" s="194">
        <f t="shared" si="80"/>
        <v>828361</v>
      </c>
      <c r="M115" s="194">
        <f>SUM(M116,M125,M130,M142,M144,M149,M154,M158)</f>
        <v>1067246.06</v>
      </c>
      <c r="N115" s="194">
        <f t="shared" si="80"/>
        <v>1162402</v>
      </c>
      <c r="O115" s="194">
        <f t="shared" si="80"/>
        <v>516942</v>
      </c>
      <c r="P115" s="194">
        <f t="shared" si="80"/>
        <v>468403</v>
      </c>
      <c r="Q115" s="194">
        <f t="shared" si="80"/>
        <v>1332518.3900000001</v>
      </c>
      <c r="R115" s="194">
        <f t="shared" si="80"/>
        <v>975225.6</v>
      </c>
      <c r="S115" s="194">
        <f t="shared" si="80"/>
        <v>1343022.8419999999</v>
      </c>
      <c r="T115" s="194">
        <f t="shared" si="80"/>
        <v>1083799</v>
      </c>
      <c r="U115" s="194">
        <f t="shared" si="80"/>
        <v>1023508.97</v>
      </c>
      <c r="V115" s="194">
        <f t="shared" si="80"/>
        <v>1091968</v>
      </c>
      <c r="W115" s="194">
        <f t="shared" si="80"/>
        <v>779862.40999999992</v>
      </c>
      <c r="X115" s="194">
        <f t="shared" si="80"/>
        <v>833440</v>
      </c>
      <c r="Y115" s="194">
        <f t="shared" si="80"/>
        <v>762727.14</v>
      </c>
      <c r="Z115" s="194">
        <f t="shared" si="80"/>
        <v>690671</v>
      </c>
      <c r="AA115" s="194">
        <f t="shared" ref="AA115:BN115" si="81">SUM(AA116,AA125,AA130,AA142,AA144,AA149,AA154,AA158)</f>
        <v>935962</v>
      </c>
      <c r="AB115" s="194">
        <f t="shared" si="81"/>
        <v>523708</v>
      </c>
      <c r="AC115" s="194">
        <f t="shared" si="81"/>
        <v>1142117</v>
      </c>
      <c r="AD115" s="194">
        <f t="shared" si="81"/>
        <v>1198917</v>
      </c>
      <c r="AE115" s="194">
        <f t="shared" si="81"/>
        <v>1222537</v>
      </c>
      <c r="AF115" s="194">
        <f t="shared" si="81"/>
        <v>839441</v>
      </c>
      <c r="AG115" s="194">
        <f t="shared" si="81"/>
        <v>863296.35</v>
      </c>
      <c r="AH115" s="194">
        <f t="shared" si="81"/>
        <v>546862</v>
      </c>
      <c r="AI115" s="194">
        <f t="shared" si="81"/>
        <v>1062802.6387999998</v>
      </c>
      <c r="AJ115" s="194">
        <f t="shared" si="81"/>
        <v>1440471</v>
      </c>
      <c r="AK115" s="194">
        <f t="shared" si="81"/>
        <v>501205.74960000004</v>
      </c>
      <c r="AL115" s="194">
        <f t="shared" si="81"/>
        <v>472100</v>
      </c>
      <c r="AM115" s="194">
        <f t="shared" si="81"/>
        <v>1065259.1499999999</v>
      </c>
      <c r="AN115" s="194">
        <f t="shared" si="81"/>
        <v>1018779</v>
      </c>
      <c r="AO115" s="194">
        <f t="shared" si="81"/>
        <v>0</v>
      </c>
      <c r="AP115" s="194">
        <f t="shared" si="81"/>
        <v>0</v>
      </c>
      <c r="AQ115" s="194">
        <f t="shared" si="81"/>
        <v>0</v>
      </c>
      <c r="AR115" s="194">
        <f t="shared" si="81"/>
        <v>0</v>
      </c>
      <c r="AS115" s="194">
        <f t="shared" si="81"/>
        <v>0</v>
      </c>
      <c r="AT115" s="194">
        <f t="shared" si="81"/>
        <v>0</v>
      </c>
      <c r="AU115" s="194">
        <f t="shared" si="81"/>
        <v>0</v>
      </c>
      <c r="AV115" s="194">
        <f t="shared" si="81"/>
        <v>0</v>
      </c>
      <c r="AW115" s="194">
        <f t="shared" si="81"/>
        <v>0</v>
      </c>
      <c r="AX115" s="194">
        <f t="shared" si="81"/>
        <v>0</v>
      </c>
      <c r="AY115" s="194">
        <f t="shared" si="81"/>
        <v>0</v>
      </c>
      <c r="AZ115" s="194">
        <f t="shared" si="81"/>
        <v>0</v>
      </c>
      <c r="BA115" s="194">
        <f t="shared" si="81"/>
        <v>0</v>
      </c>
      <c r="BB115" s="194">
        <f t="shared" si="81"/>
        <v>0</v>
      </c>
      <c r="BC115" s="194">
        <f t="shared" si="81"/>
        <v>0</v>
      </c>
      <c r="BD115" s="194">
        <f t="shared" si="81"/>
        <v>0</v>
      </c>
      <c r="BE115" s="194">
        <f t="shared" si="81"/>
        <v>0</v>
      </c>
      <c r="BF115" s="194">
        <f t="shared" si="81"/>
        <v>0</v>
      </c>
      <c r="BG115" s="194">
        <f t="shared" si="81"/>
        <v>0</v>
      </c>
      <c r="BH115" s="194">
        <f t="shared" si="81"/>
        <v>0</v>
      </c>
      <c r="BI115" s="194">
        <f t="shared" si="81"/>
        <v>0</v>
      </c>
      <c r="BJ115" s="194">
        <f t="shared" si="81"/>
        <v>0</v>
      </c>
      <c r="BK115" s="194">
        <f t="shared" si="81"/>
        <v>0</v>
      </c>
      <c r="BL115" s="194">
        <f t="shared" si="81"/>
        <v>578836</v>
      </c>
      <c r="BM115" s="194">
        <f t="shared" si="81"/>
        <v>1284016.1299999999</v>
      </c>
      <c r="BN115" s="194">
        <f t="shared" si="81"/>
        <v>1002762</v>
      </c>
      <c r="BO115" s="194">
        <f>SUM(BO116,BO125,BO130,BO142,BO144,BO149,BO154,BO158)</f>
        <v>1666444.58</v>
      </c>
      <c r="BP115" s="194">
        <f>SUM(BP116,BP125,BP130,BP142,BP144,BP149,BP154,BP158)</f>
        <v>1661480</v>
      </c>
    </row>
    <row r="116" spans="1:69" x14ac:dyDescent="0.2">
      <c r="A116" s="156"/>
      <c r="B116" s="159">
        <v>2.1</v>
      </c>
      <c r="C116" s="160" t="s">
        <v>27</v>
      </c>
      <c r="D116" s="161"/>
      <c r="E116" s="158">
        <f>SUM(E117:E119,E122:E124)</f>
        <v>4395887.9399999995</v>
      </c>
      <c r="F116" s="158">
        <f>SUM(F117:F119,F122:F124)</f>
        <v>3388260</v>
      </c>
      <c r="G116" s="158">
        <f>SUM(G117:G119,G122:G124)</f>
        <v>124520</v>
      </c>
      <c r="H116" s="158">
        <f>SUM(H117:H119,H122:H124)</f>
        <v>108000</v>
      </c>
      <c r="I116" s="158">
        <f>SUM(I117:I119,I122:I124)</f>
        <v>35080</v>
      </c>
      <c r="J116" s="158">
        <f t="shared" ref="J116:Z116" si="82">SUM(J117:J119,J122:J124)</f>
        <v>80560</v>
      </c>
      <c r="K116" s="158">
        <f t="shared" si="82"/>
        <v>98600</v>
      </c>
      <c r="L116" s="158">
        <f t="shared" si="82"/>
        <v>95580</v>
      </c>
      <c r="M116" s="158">
        <f t="shared" si="82"/>
        <v>99153</v>
      </c>
      <c r="N116" s="158">
        <f t="shared" si="82"/>
        <v>231640</v>
      </c>
      <c r="O116" s="158">
        <f t="shared" si="82"/>
        <v>63958</v>
      </c>
      <c r="P116" s="158">
        <f t="shared" si="82"/>
        <v>50000</v>
      </c>
      <c r="Q116" s="158">
        <f t="shared" si="82"/>
        <v>554904.9</v>
      </c>
      <c r="R116" s="158">
        <f t="shared" si="82"/>
        <v>175450</v>
      </c>
      <c r="S116" s="158">
        <f t="shared" si="82"/>
        <v>464206</v>
      </c>
      <c r="T116" s="158">
        <f t="shared" si="82"/>
        <v>260000</v>
      </c>
      <c r="U116" s="158">
        <f t="shared" si="82"/>
        <v>158209</v>
      </c>
      <c r="V116" s="158">
        <f t="shared" si="82"/>
        <v>147000</v>
      </c>
      <c r="W116" s="158">
        <f t="shared" si="82"/>
        <v>58010</v>
      </c>
      <c r="X116" s="158">
        <f t="shared" si="82"/>
        <v>106000</v>
      </c>
      <c r="Y116" s="158">
        <f t="shared" si="82"/>
        <v>120278</v>
      </c>
      <c r="Z116" s="158">
        <f t="shared" si="82"/>
        <v>87600</v>
      </c>
      <c r="AA116" s="158">
        <f t="shared" ref="AA116:BN116" si="83">SUM(AA117:AA119,AA122:AA124)</f>
        <v>223740</v>
      </c>
      <c r="AB116" s="158">
        <f t="shared" si="83"/>
        <v>56000</v>
      </c>
      <c r="AC116" s="158">
        <f t="shared" si="83"/>
        <v>52360</v>
      </c>
      <c r="AD116" s="158">
        <f t="shared" si="83"/>
        <v>128360</v>
      </c>
      <c r="AE116" s="158">
        <f t="shared" si="83"/>
        <v>402280</v>
      </c>
      <c r="AF116" s="158">
        <f t="shared" si="83"/>
        <v>140200</v>
      </c>
      <c r="AG116" s="158">
        <f t="shared" si="83"/>
        <v>217890</v>
      </c>
      <c r="AH116" s="158">
        <f t="shared" si="83"/>
        <v>88520</v>
      </c>
      <c r="AI116" s="158">
        <f t="shared" si="83"/>
        <v>64150</v>
      </c>
      <c r="AJ116" s="158">
        <f t="shared" si="83"/>
        <v>291000</v>
      </c>
      <c r="AK116" s="158">
        <f t="shared" si="83"/>
        <v>30760</v>
      </c>
      <c r="AL116" s="158">
        <f t="shared" si="83"/>
        <v>20000</v>
      </c>
      <c r="AM116" s="158">
        <f t="shared" si="83"/>
        <v>270989</v>
      </c>
      <c r="AN116" s="158">
        <f t="shared" si="83"/>
        <v>160150</v>
      </c>
      <c r="AO116" s="158">
        <f t="shared" si="83"/>
        <v>0</v>
      </c>
      <c r="AP116" s="158">
        <f t="shared" si="83"/>
        <v>0</v>
      </c>
      <c r="AQ116" s="158">
        <f t="shared" si="83"/>
        <v>0</v>
      </c>
      <c r="AR116" s="158">
        <f t="shared" si="83"/>
        <v>0</v>
      </c>
      <c r="AS116" s="158">
        <f t="shared" si="83"/>
        <v>0</v>
      </c>
      <c r="AT116" s="158">
        <f t="shared" si="83"/>
        <v>0</v>
      </c>
      <c r="AU116" s="158">
        <f t="shared" si="83"/>
        <v>0</v>
      </c>
      <c r="AV116" s="158">
        <f t="shared" si="83"/>
        <v>0</v>
      </c>
      <c r="AW116" s="158">
        <f t="shared" si="83"/>
        <v>0</v>
      </c>
      <c r="AX116" s="158">
        <f t="shared" si="83"/>
        <v>0</v>
      </c>
      <c r="AY116" s="158">
        <f t="shared" si="83"/>
        <v>0</v>
      </c>
      <c r="AZ116" s="158">
        <f t="shared" si="83"/>
        <v>0</v>
      </c>
      <c r="BA116" s="158">
        <f t="shared" si="83"/>
        <v>0</v>
      </c>
      <c r="BB116" s="158">
        <f t="shared" si="83"/>
        <v>0</v>
      </c>
      <c r="BC116" s="158">
        <f t="shared" si="83"/>
        <v>0</v>
      </c>
      <c r="BD116" s="158">
        <f t="shared" si="83"/>
        <v>0</v>
      </c>
      <c r="BE116" s="158">
        <f t="shared" si="83"/>
        <v>0</v>
      </c>
      <c r="BF116" s="158">
        <f t="shared" si="83"/>
        <v>0</v>
      </c>
      <c r="BG116" s="158">
        <f t="shared" si="83"/>
        <v>0</v>
      </c>
      <c r="BH116" s="158">
        <f t="shared" si="83"/>
        <v>0</v>
      </c>
      <c r="BI116" s="158">
        <f t="shared" si="83"/>
        <v>0</v>
      </c>
      <c r="BJ116" s="158">
        <f t="shared" si="83"/>
        <v>0</v>
      </c>
      <c r="BK116" s="158">
        <f t="shared" si="83"/>
        <v>0</v>
      </c>
      <c r="BL116" s="158">
        <f t="shared" si="83"/>
        <v>0</v>
      </c>
      <c r="BM116" s="158">
        <f t="shared" si="83"/>
        <v>389214.04000000004</v>
      </c>
      <c r="BN116" s="158">
        <f t="shared" si="83"/>
        <v>170200</v>
      </c>
      <c r="BO116" s="158">
        <f>SUM(BO117:BO119,BO122:BO124)</f>
        <v>967586</v>
      </c>
      <c r="BP116" s="158">
        <f>SUM(BP117:BP119,BP122:BP124)</f>
        <v>992000</v>
      </c>
    </row>
    <row r="117" spans="1:69" x14ac:dyDescent="0.2">
      <c r="A117" s="25"/>
      <c r="B117" s="26"/>
      <c r="C117" s="31" t="s">
        <v>76</v>
      </c>
      <c r="D117" s="32"/>
      <c r="E117" s="381">
        <f>SUMIF($G$2:$BP$2,E$2,($G117:$BP117))</f>
        <v>547396</v>
      </c>
      <c r="F117" s="381">
        <f>SUMIF($G$2:$BP$2,F$2,($G117:$BP117))</f>
        <v>1025210</v>
      </c>
      <c r="G117" s="447">
        <v>17280</v>
      </c>
      <c r="H117" s="447">
        <v>36000</v>
      </c>
      <c r="I117" s="447">
        <v>10080</v>
      </c>
      <c r="J117" s="447">
        <v>34560</v>
      </c>
      <c r="K117" s="447">
        <v>46080</v>
      </c>
      <c r="L117" s="447">
        <v>46080</v>
      </c>
      <c r="M117" s="447">
        <v>20160</v>
      </c>
      <c r="N117" s="447">
        <v>90640</v>
      </c>
      <c r="O117" s="447">
        <v>10080</v>
      </c>
      <c r="P117" s="447">
        <v>24000</v>
      </c>
      <c r="Q117" s="447">
        <v>0</v>
      </c>
      <c r="R117" s="447">
        <f>5*11*165*6</f>
        <v>54450</v>
      </c>
      <c r="S117" s="447">
        <v>67386</v>
      </c>
      <c r="T117" s="447">
        <v>75000</v>
      </c>
      <c r="U117" s="447">
        <v>72000</v>
      </c>
      <c r="V117" s="447">
        <v>86000</v>
      </c>
      <c r="W117" s="447">
        <v>27360</v>
      </c>
      <c r="X117" s="447">
        <v>66000</v>
      </c>
      <c r="Y117" s="447">
        <v>14400</v>
      </c>
      <c r="Z117" s="447">
        <v>37600</v>
      </c>
      <c r="AA117" s="440">
        <v>39600</v>
      </c>
      <c r="AB117" s="440">
        <v>36000</v>
      </c>
      <c r="AC117" s="464">
        <v>27360</v>
      </c>
      <c r="AD117" s="464">
        <v>47360</v>
      </c>
      <c r="AE117" s="440">
        <v>19800</v>
      </c>
      <c r="AF117" s="440">
        <v>79200</v>
      </c>
      <c r="AG117" s="440">
        <v>5890</v>
      </c>
      <c r="AH117" s="440">
        <v>27520</v>
      </c>
      <c r="AI117" s="462">
        <v>21600</v>
      </c>
      <c r="AJ117" s="447">
        <v>150000</v>
      </c>
      <c r="AK117" s="440">
        <v>5760</v>
      </c>
      <c r="AL117" s="440">
        <v>10000</v>
      </c>
      <c r="AM117" s="447">
        <v>63360</v>
      </c>
      <c r="AN117" s="447">
        <v>45600</v>
      </c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447">
        <v>79200</v>
      </c>
      <c r="BN117" s="447">
        <v>79200</v>
      </c>
      <c r="BO117" s="447">
        <v>0</v>
      </c>
      <c r="BP117" s="447">
        <v>0</v>
      </c>
      <c r="BQ117" s="439"/>
    </row>
    <row r="118" spans="1:69" x14ac:dyDescent="0.2">
      <c r="A118" s="25"/>
      <c r="B118" s="26"/>
      <c r="C118" s="31" t="s">
        <v>28</v>
      </c>
      <c r="D118" s="32"/>
      <c r="E118" s="381">
        <f>SUMIF($G$2:$BP$2,E$2,($G118:$BP118))</f>
        <v>1133818</v>
      </c>
      <c r="F118" s="381">
        <f>SUMIF($G$2:$BP$2,F$2,($G118:$BP118))</f>
        <v>1180000</v>
      </c>
      <c r="G118" s="447">
        <f>1600+1700+1700+1700+2000</f>
        <v>8700</v>
      </c>
      <c r="H118" s="447">
        <v>20000</v>
      </c>
      <c r="I118" s="447">
        <v>10000</v>
      </c>
      <c r="J118" s="447">
        <v>20000</v>
      </c>
      <c r="K118" s="447">
        <v>10000</v>
      </c>
      <c r="L118" s="447">
        <v>20000</v>
      </c>
      <c r="M118" s="447">
        <v>10000</v>
      </c>
      <c r="N118" s="447">
        <v>20000</v>
      </c>
      <c r="O118" s="447">
        <v>21468</v>
      </c>
      <c r="P118" s="447">
        <v>20000</v>
      </c>
      <c r="Q118" s="447">
        <v>69200</v>
      </c>
      <c r="R118" s="447">
        <v>20000</v>
      </c>
      <c r="S118" s="6">
        <v>10000</v>
      </c>
      <c r="T118" s="6">
        <v>20000</v>
      </c>
      <c r="U118" s="447">
        <v>49024</v>
      </c>
      <c r="V118" s="447">
        <v>20000</v>
      </c>
      <c r="W118" s="447">
        <v>0</v>
      </c>
      <c r="X118" s="447">
        <v>10000</v>
      </c>
      <c r="Y118" s="447">
        <v>22000</v>
      </c>
      <c r="Z118" s="447">
        <v>20000</v>
      </c>
      <c r="AA118" s="440">
        <v>20000</v>
      </c>
      <c r="AB118" s="440">
        <v>20000</v>
      </c>
      <c r="AC118" s="464">
        <v>10000</v>
      </c>
      <c r="AD118" s="464">
        <v>20000</v>
      </c>
      <c r="AE118" s="440">
        <v>0</v>
      </c>
      <c r="AF118" s="440">
        <v>20000</v>
      </c>
      <c r="AG118" s="440">
        <v>12000</v>
      </c>
      <c r="AH118" s="440">
        <v>20000</v>
      </c>
      <c r="AI118" s="447">
        <v>14280</v>
      </c>
      <c r="AJ118" s="447">
        <v>20000</v>
      </c>
      <c r="AK118" s="440">
        <v>10000</v>
      </c>
      <c r="AL118" s="440">
        <v>10000</v>
      </c>
      <c r="AM118" s="447">
        <v>20000</v>
      </c>
      <c r="AN118" s="447">
        <v>20000</v>
      </c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447">
        <v>23960</v>
      </c>
      <c r="BN118" s="447">
        <v>20000</v>
      </c>
      <c r="BO118" s="447">
        <v>813186</v>
      </c>
      <c r="BP118" s="447">
        <f>70000*12</f>
        <v>840000</v>
      </c>
    </row>
    <row r="119" spans="1:69" s="2" customFormat="1" x14ac:dyDescent="0.2">
      <c r="A119" s="383"/>
      <c r="B119" s="384"/>
      <c r="C119" s="385" t="s">
        <v>80</v>
      </c>
      <c r="D119" s="386"/>
      <c r="E119" s="195">
        <f>SUM(E120:E121)</f>
        <v>2712673.94</v>
      </c>
      <c r="F119" s="195">
        <f>SUM(F120:F121)</f>
        <v>1171050</v>
      </c>
      <c r="G119" s="195">
        <f>SUM(G120:G121)</f>
        <v>98540</v>
      </c>
      <c r="H119" s="195">
        <f>SUM(H120:H121)</f>
        <v>51000</v>
      </c>
      <c r="I119" s="195">
        <f t="shared" ref="I119:Z119" si="84">SUM(I120:I121)</f>
        <v>15000</v>
      </c>
      <c r="J119" s="195">
        <f t="shared" si="84"/>
        <v>25000</v>
      </c>
      <c r="K119" s="195">
        <f t="shared" si="84"/>
        <v>42520</v>
      </c>
      <c r="L119" s="195">
        <f t="shared" si="84"/>
        <v>28500</v>
      </c>
      <c r="M119" s="195">
        <f t="shared" si="84"/>
        <v>68993</v>
      </c>
      <c r="N119" s="195">
        <f t="shared" si="84"/>
        <v>120000</v>
      </c>
      <c r="O119" s="195">
        <f t="shared" si="84"/>
        <v>31410</v>
      </c>
      <c r="P119" s="195">
        <f t="shared" si="84"/>
        <v>5000</v>
      </c>
      <c r="Q119" s="195">
        <f t="shared" si="84"/>
        <v>485704.9</v>
      </c>
      <c r="R119" s="195">
        <f t="shared" si="84"/>
        <v>100000</v>
      </c>
      <c r="S119" s="195">
        <f t="shared" si="84"/>
        <v>386820</v>
      </c>
      <c r="T119" s="195">
        <f t="shared" si="84"/>
        <v>165000</v>
      </c>
      <c r="U119" s="195">
        <f t="shared" si="84"/>
        <v>37185</v>
      </c>
      <c r="V119" s="195">
        <f t="shared" si="84"/>
        <v>40000</v>
      </c>
      <c r="W119" s="195">
        <f t="shared" si="84"/>
        <v>30650</v>
      </c>
      <c r="X119" s="195">
        <f t="shared" si="84"/>
        <v>30000</v>
      </c>
      <c r="Y119" s="195">
        <f t="shared" si="84"/>
        <v>83878</v>
      </c>
      <c r="Z119" s="195">
        <f t="shared" si="84"/>
        <v>30000</v>
      </c>
      <c r="AA119" s="195">
        <f t="shared" ref="AA119:BN119" si="85">SUM(AA120:AA121)</f>
        <v>164140</v>
      </c>
      <c r="AB119" s="195">
        <f t="shared" si="85"/>
        <v>0</v>
      </c>
      <c r="AC119" s="195">
        <f t="shared" si="85"/>
        <v>15000</v>
      </c>
      <c r="AD119" s="195">
        <f t="shared" si="85"/>
        <v>60000</v>
      </c>
      <c r="AE119" s="195">
        <f t="shared" si="85"/>
        <v>382480</v>
      </c>
      <c r="AF119" s="195">
        <f t="shared" si="85"/>
        <v>40000</v>
      </c>
      <c r="AG119" s="195">
        <f t="shared" si="85"/>
        <v>200000</v>
      </c>
      <c r="AH119" s="195">
        <f t="shared" si="85"/>
        <v>40000</v>
      </c>
      <c r="AI119" s="195">
        <f t="shared" si="85"/>
        <v>28270</v>
      </c>
      <c r="AJ119" s="195">
        <f t="shared" si="85"/>
        <v>120000</v>
      </c>
      <c r="AK119" s="195">
        <f t="shared" si="85"/>
        <v>15000</v>
      </c>
      <c r="AL119" s="195">
        <f t="shared" si="85"/>
        <v>0</v>
      </c>
      <c r="AM119" s="195">
        <f t="shared" si="85"/>
        <v>187629</v>
      </c>
      <c r="AN119" s="195">
        <f t="shared" si="85"/>
        <v>94550</v>
      </c>
      <c r="AO119" s="195">
        <f t="shared" si="85"/>
        <v>0</v>
      </c>
      <c r="AP119" s="195">
        <f t="shared" si="85"/>
        <v>0</v>
      </c>
      <c r="AQ119" s="195">
        <f t="shared" si="85"/>
        <v>0</v>
      </c>
      <c r="AR119" s="195">
        <f t="shared" si="85"/>
        <v>0</v>
      </c>
      <c r="AS119" s="195">
        <f t="shared" si="85"/>
        <v>0</v>
      </c>
      <c r="AT119" s="195">
        <f t="shared" si="85"/>
        <v>0</v>
      </c>
      <c r="AU119" s="195">
        <f t="shared" si="85"/>
        <v>0</v>
      </c>
      <c r="AV119" s="195">
        <f t="shared" si="85"/>
        <v>0</v>
      </c>
      <c r="AW119" s="195">
        <f t="shared" si="85"/>
        <v>0</v>
      </c>
      <c r="AX119" s="195">
        <f t="shared" si="85"/>
        <v>0</v>
      </c>
      <c r="AY119" s="195">
        <f t="shared" si="85"/>
        <v>0</v>
      </c>
      <c r="AZ119" s="195">
        <f t="shared" si="85"/>
        <v>0</v>
      </c>
      <c r="BA119" s="195">
        <f t="shared" si="85"/>
        <v>0</v>
      </c>
      <c r="BB119" s="195">
        <f t="shared" si="85"/>
        <v>0</v>
      </c>
      <c r="BC119" s="195">
        <f t="shared" si="85"/>
        <v>0</v>
      </c>
      <c r="BD119" s="195">
        <f t="shared" si="85"/>
        <v>0</v>
      </c>
      <c r="BE119" s="195">
        <f t="shared" si="85"/>
        <v>0</v>
      </c>
      <c r="BF119" s="195">
        <f t="shared" si="85"/>
        <v>0</v>
      </c>
      <c r="BG119" s="195">
        <f t="shared" si="85"/>
        <v>0</v>
      </c>
      <c r="BH119" s="195">
        <f t="shared" si="85"/>
        <v>0</v>
      </c>
      <c r="BI119" s="195">
        <f t="shared" si="85"/>
        <v>0</v>
      </c>
      <c r="BJ119" s="195">
        <f t="shared" si="85"/>
        <v>0</v>
      </c>
      <c r="BK119" s="195">
        <f t="shared" si="85"/>
        <v>0</v>
      </c>
      <c r="BL119" s="195">
        <f t="shared" si="85"/>
        <v>0</v>
      </c>
      <c r="BM119" s="195">
        <f t="shared" si="85"/>
        <v>285054.04000000004</v>
      </c>
      <c r="BN119" s="195">
        <f t="shared" si="85"/>
        <v>70000</v>
      </c>
      <c r="BO119" s="195">
        <f>SUM(BO120:BO121)</f>
        <v>154400</v>
      </c>
      <c r="BP119" s="195">
        <f>SUM(BP120:BP121)</f>
        <v>152000</v>
      </c>
    </row>
    <row r="120" spans="1:69" s="2" customFormat="1" x14ac:dyDescent="0.2">
      <c r="A120" s="25"/>
      <c r="B120" s="26"/>
      <c r="C120" s="23"/>
      <c r="D120" s="23" t="s">
        <v>1191</v>
      </c>
      <c r="E120" s="381">
        <f t="shared" ref="E120:F124" si="86">SUMIF($G$2:$BP$2,E$2,($G120:$BP120))</f>
        <v>1514527.04</v>
      </c>
      <c r="F120" s="381">
        <f t="shared" si="86"/>
        <v>571000</v>
      </c>
      <c r="G120" s="447">
        <v>76750</v>
      </c>
      <c r="H120" s="447">
        <v>16000</v>
      </c>
      <c r="I120" s="447">
        <v>0</v>
      </c>
      <c r="J120" s="447">
        <v>10000</v>
      </c>
      <c r="K120" s="447">
        <v>5000</v>
      </c>
      <c r="L120" s="447">
        <v>5000</v>
      </c>
      <c r="M120" s="447">
        <v>23993</v>
      </c>
      <c r="N120" s="447">
        <v>50000</v>
      </c>
      <c r="O120" s="447">
        <v>31410</v>
      </c>
      <c r="P120" s="447">
        <v>0</v>
      </c>
      <c r="Q120" s="447">
        <v>9300</v>
      </c>
      <c r="R120" s="447">
        <v>20000</v>
      </c>
      <c r="S120" s="447">
        <v>306820</v>
      </c>
      <c r="T120" s="447">
        <v>80000</v>
      </c>
      <c r="U120" s="447">
        <v>19185</v>
      </c>
      <c r="V120" s="447">
        <v>20000</v>
      </c>
      <c r="W120" s="447">
        <v>19750</v>
      </c>
      <c r="X120" s="447">
        <v>20000</v>
      </c>
      <c r="Y120" s="447">
        <v>43500</v>
      </c>
      <c r="Z120" s="447">
        <v>30000</v>
      </c>
      <c r="AA120" s="440">
        <v>140140</v>
      </c>
      <c r="AB120" s="440">
        <v>0</v>
      </c>
      <c r="AC120" s="464">
        <v>0</v>
      </c>
      <c r="AD120" s="464">
        <v>20000</v>
      </c>
      <c r="AE120" s="440">
        <v>303180</v>
      </c>
      <c r="AF120" s="440">
        <v>20000</v>
      </c>
      <c r="AG120" s="440">
        <v>150000</v>
      </c>
      <c r="AH120" s="440">
        <v>20000</v>
      </c>
      <c r="AI120" s="447">
        <v>20700</v>
      </c>
      <c r="AJ120" s="447">
        <v>80000</v>
      </c>
      <c r="AK120" s="440">
        <v>0</v>
      </c>
      <c r="AL120" s="440">
        <v>0</v>
      </c>
      <c r="AM120" s="447">
        <v>61900</v>
      </c>
      <c r="AN120" s="447">
        <v>80000</v>
      </c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447">
        <v>231099.04</v>
      </c>
      <c r="BN120" s="447">
        <v>20000</v>
      </c>
      <c r="BO120" s="447">
        <v>71800</v>
      </c>
      <c r="BP120" s="447">
        <v>80000</v>
      </c>
    </row>
    <row r="121" spans="1:69" s="2" customFormat="1" x14ac:dyDescent="0.2">
      <c r="A121" s="25"/>
      <c r="B121" s="26"/>
      <c r="C121" s="23"/>
      <c r="D121" s="23" t="s">
        <v>79</v>
      </c>
      <c r="E121" s="381">
        <f t="shared" si="86"/>
        <v>1198146.8999999999</v>
      </c>
      <c r="F121" s="381">
        <f t="shared" si="86"/>
        <v>600050</v>
      </c>
      <c r="G121" s="447">
        <v>21790</v>
      </c>
      <c r="H121" s="447">
        <v>35000</v>
      </c>
      <c r="I121" s="447">
        <v>15000</v>
      </c>
      <c r="J121" s="447">
        <v>15000</v>
      </c>
      <c r="K121" s="447">
        <v>37520</v>
      </c>
      <c r="L121" s="447">
        <v>23500</v>
      </c>
      <c r="M121" s="447">
        <v>45000</v>
      </c>
      <c r="N121" s="447">
        <v>70000</v>
      </c>
      <c r="O121" s="447">
        <v>0</v>
      </c>
      <c r="P121" s="447">
        <v>5000</v>
      </c>
      <c r="Q121" s="447">
        <v>476404.9</v>
      </c>
      <c r="R121" s="447">
        <v>80000</v>
      </c>
      <c r="S121" s="447">
        <v>80000</v>
      </c>
      <c r="T121" s="447">
        <v>85000</v>
      </c>
      <c r="U121" s="447">
        <v>18000</v>
      </c>
      <c r="V121" s="447">
        <v>20000</v>
      </c>
      <c r="W121" s="447">
        <v>10900</v>
      </c>
      <c r="X121" s="447">
        <v>10000</v>
      </c>
      <c r="Y121" s="447">
        <v>40378</v>
      </c>
      <c r="Z121" s="447">
        <v>0</v>
      </c>
      <c r="AA121" s="440">
        <v>24000</v>
      </c>
      <c r="AB121" s="440">
        <v>0</v>
      </c>
      <c r="AC121" s="464">
        <v>15000</v>
      </c>
      <c r="AD121" s="464">
        <v>40000</v>
      </c>
      <c r="AE121" s="440">
        <v>79300</v>
      </c>
      <c r="AF121" s="440">
        <v>20000</v>
      </c>
      <c r="AG121" s="440">
        <v>50000</v>
      </c>
      <c r="AH121" s="440">
        <v>20000</v>
      </c>
      <c r="AI121" s="447">
        <v>7570</v>
      </c>
      <c r="AJ121" s="447">
        <v>40000</v>
      </c>
      <c r="AK121" s="440">
        <v>15000</v>
      </c>
      <c r="AL121" s="440">
        <v>0</v>
      </c>
      <c r="AM121" s="447">
        <v>125729</v>
      </c>
      <c r="AN121" s="447">
        <v>14550</v>
      </c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447">
        <v>53955</v>
      </c>
      <c r="BN121" s="447">
        <v>50000</v>
      </c>
      <c r="BO121" s="447">
        <v>82600</v>
      </c>
      <c r="BP121" s="447">
        <f>36000*2</f>
        <v>72000</v>
      </c>
    </row>
    <row r="122" spans="1:69" s="2" customFormat="1" x14ac:dyDescent="0.2">
      <c r="A122" s="169"/>
      <c r="B122" s="170"/>
      <c r="C122" s="167" t="s">
        <v>1190</v>
      </c>
      <c r="D122" s="167"/>
      <c r="E122" s="381">
        <f t="shared" si="86"/>
        <v>0</v>
      </c>
      <c r="F122" s="381">
        <f t="shared" si="86"/>
        <v>0</v>
      </c>
      <c r="G122" s="447">
        <v>0</v>
      </c>
      <c r="H122" s="447">
        <v>0</v>
      </c>
      <c r="I122" s="447">
        <v>0</v>
      </c>
      <c r="J122" s="447">
        <v>0</v>
      </c>
      <c r="K122" s="447">
        <v>0</v>
      </c>
      <c r="L122" s="447">
        <v>0</v>
      </c>
      <c r="M122" s="447">
        <v>0</v>
      </c>
      <c r="N122" s="447">
        <v>0</v>
      </c>
      <c r="O122" s="447">
        <v>0</v>
      </c>
      <c r="P122" s="447">
        <v>0</v>
      </c>
      <c r="Q122" s="447"/>
      <c r="R122" s="447"/>
      <c r="S122" s="447"/>
      <c r="T122" s="447"/>
      <c r="U122" s="447"/>
      <c r="V122" s="447"/>
      <c r="W122" s="447"/>
      <c r="X122" s="447"/>
      <c r="Y122" s="447"/>
      <c r="Z122" s="447"/>
      <c r="AA122" s="440">
        <v>0</v>
      </c>
      <c r="AB122" s="440">
        <v>0</v>
      </c>
      <c r="AC122" s="464">
        <v>0</v>
      </c>
      <c r="AD122" s="464">
        <v>0</v>
      </c>
      <c r="AE122" s="440">
        <v>0</v>
      </c>
      <c r="AF122" s="440">
        <v>0</v>
      </c>
      <c r="AG122" s="440">
        <v>0</v>
      </c>
      <c r="AH122" s="440">
        <v>0</v>
      </c>
      <c r="AI122" s="447">
        <v>0</v>
      </c>
      <c r="AJ122" s="447">
        <v>0</v>
      </c>
      <c r="AK122" s="440">
        <v>0</v>
      </c>
      <c r="AL122" s="440">
        <v>0</v>
      </c>
      <c r="AM122" s="447">
        <v>0</v>
      </c>
      <c r="AN122" s="447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447">
        <v>0</v>
      </c>
      <c r="BN122" s="447">
        <v>0</v>
      </c>
      <c r="BO122" s="447"/>
      <c r="BP122" s="447"/>
    </row>
    <row r="123" spans="1:69" s="2" customFormat="1" x14ac:dyDescent="0.2">
      <c r="A123" s="25"/>
      <c r="B123" s="26"/>
      <c r="C123" s="31" t="s">
        <v>29</v>
      </c>
      <c r="D123" s="23"/>
      <c r="E123" s="381">
        <f t="shared" si="86"/>
        <v>2000</v>
      </c>
      <c r="F123" s="381">
        <f t="shared" si="86"/>
        <v>12000</v>
      </c>
      <c r="G123" s="447">
        <v>0</v>
      </c>
      <c r="H123" s="447">
        <v>1000</v>
      </c>
      <c r="I123" s="447">
        <v>0</v>
      </c>
      <c r="J123" s="453">
        <v>1000</v>
      </c>
      <c r="K123" s="447">
        <v>0</v>
      </c>
      <c r="L123" s="453">
        <v>1000</v>
      </c>
      <c r="M123" s="447"/>
      <c r="N123" s="447">
        <v>1000</v>
      </c>
      <c r="O123" s="447">
        <v>1000</v>
      </c>
      <c r="P123" s="447">
        <v>1000</v>
      </c>
      <c r="Q123" s="447"/>
      <c r="R123" s="447">
        <v>1000</v>
      </c>
      <c r="S123" s="447"/>
      <c r="T123" s="447"/>
      <c r="U123" s="447"/>
      <c r="V123" s="447">
        <v>1000</v>
      </c>
      <c r="W123" s="447"/>
      <c r="X123" s="447"/>
      <c r="Y123" s="447"/>
      <c r="Z123" s="447"/>
      <c r="AA123" s="440">
        <v>0</v>
      </c>
      <c r="AB123" s="440">
        <v>0</v>
      </c>
      <c r="AC123" s="464">
        <v>0</v>
      </c>
      <c r="AD123" s="464">
        <v>1000</v>
      </c>
      <c r="AE123" s="440">
        <v>0</v>
      </c>
      <c r="AF123" s="440">
        <v>1000</v>
      </c>
      <c r="AG123" s="440">
        <v>0</v>
      </c>
      <c r="AH123" s="440">
        <v>1000</v>
      </c>
      <c r="AI123" s="447">
        <v>0</v>
      </c>
      <c r="AJ123" s="447">
        <v>1000</v>
      </c>
      <c r="AK123" s="440">
        <v>0</v>
      </c>
      <c r="AL123" s="440">
        <v>0</v>
      </c>
      <c r="AM123" s="447">
        <v>0</v>
      </c>
      <c r="AN123" s="447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447">
        <v>1000</v>
      </c>
      <c r="BN123" s="447">
        <v>1000</v>
      </c>
      <c r="BO123" s="447"/>
      <c r="BP123" s="447"/>
    </row>
    <row r="124" spans="1:69" x14ac:dyDescent="0.2">
      <c r="A124" s="25"/>
      <c r="B124" s="26"/>
      <c r="C124" s="31" t="s">
        <v>839</v>
      </c>
      <c r="D124" s="23"/>
      <c r="E124" s="381">
        <f t="shared" si="86"/>
        <v>0</v>
      </c>
      <c r="F124" s="381">
        <f t="shared" si="86"/>
        <v>0</v>
      </c>
      <c r="G124" s="447">
        <v>0</v>
      </c>
      <c r="H124" s="447">
        <v>0</v>
      </c>
      <c r="I124" s="447">
        <v>0</v>
      </c>
      <c r="J124" s="447">
        <v>0</v>
      </c>
      <c r="K124" s="447">
        <v>0</v>
      </c>
      <c r="L124" s="447">
        <v>0</v>
      </c>
      <c r="M124" s="447"/>
      <c r="N124" s="447"/>
      <c r="O124" s="6"/>
      <c r="P124" s="6"/>
      <c r="Q124" s="447"/>
      <c r="R124" s="447"/>
      <c r="S124" s="447"/>
      <c r="T124" s="447"/>
      <c r="U124" s="447"/>
      <c r="V124" s="447"/>
      <c r="W124" s="447"/>
      <c r="X124" s="447"/>
      <c r="Y124" s="447"/>
      <c r="Z124" s="447"/>
      <c r="AA124" s="440">
        <v>0</v>
      </c>
      <c r="AB124" s="440">
        <v>0</v>
      </c>
      <c r="AC124" s="464">
        <v>0</v>
      </c>
      <c r="AD124" s="464">
        <v>0</v>
      </c>
      <c r="AE124" s="440">
        <v>0</v>
      </c>
      <c r="AF124" s="440">
        <v>0</v>
      </c>
      <c r="AG124" s="440">
        <v>0</v>
      </c>
      <c r="AH124" s="440">
        <v>0</v>
      </c>
      <c r="AI124" s="447">
        <v>0</v>
      </c>
      <c r="AJ124" s="447">
        <v>0</v>
      </c>
      <c r="AK124" s="440">
        <v>0</v>
      </c>
      <c r="AL124" s="440">
        <v>0</v>
      </c>
      <c r="AM124" s="447">
        <v>0</v>
      </c>
      <c r="AN124" s="447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447">
        <v>0</v>
      </c>
      <c r="BN124" s="447">
        <v>0</v>
      </c>
      <c r="BO124" s="447"/>
      <c r="BP124" s="447"/>
    </row>
    <row r="125" spans="1:69" ht="16.7" customHeight="1" x14ac:dyDescent="0.2">
      <c r="A125" s="156"/>
      <c r="B125" s="159">
        <v>2.2000000000000002</v>
      </c>
      <c r="C125" s="160" t="s">
        <v>30</v>
      </c>
      <c r="D125" s="161"/>
      <c r="E125" s="158">
        <f>SUM(E126:E129)</f>
        <v>1033997.8</v>
      </c>
      <c r="F125" s="158">
        <f>SUM(F126:F129)</f>
        <v>1096343.6000000001</v>
      </c>
      <c r="G125" s="158">
        <f>SUM(G126:G129)</f>
        <v>76271.3</v>
      </c>
      <c r="H125" s="158">
        <f>SUM(H126:H129)</f>
        <v>78800</v>
      </c>
      <c r="I125" s="158">
        <f t="shared" ref="I125:Z125" si="87">SUM(I126:I129)</f>
        <v>37400</v>
      </c>
      <c r="J125" s="158">
        <f t="shared" si="87"/>
        <v>40000</v>
      </c>
      <c r="K125" s="158">
        <f t="shared" si="87"/>
        <v>45934.020000000004</v>
      </c>
      <c r="L125" s="158">
        <f t="shared" si="87"/>
        <v>46000</v>
      </c>
      <c r="M125" s="158">
        <f t="shared" si="87"/>
        <v>68772.06</v>
      </c>
      <c r="N125" s="158">
        <f t="shared" si="87"/>
        <v>72200</v>
      </c>
      <c r="O125" s="158">
        <f t="shared" si="87"/>
        <v>49932</v>
      </c>
      <c r="P125" s="158">
        <f t="shared" si="87"/>
        <v>45800</v>
      </c>
      <c r="Q125" s="158">
        <f t="shared" si="87"/>
        <v>58132.49</v>
      </c>
      <c r="R125" s="158">
        <f t="shared" si="87"/>
        <v>62575.6</v>
      </c>
      <c r="S125" s="158">
        <f t="shared" si="87"/>
        <v>44881.85</v>
      </c>
      <c r="T125" s="158">
        <f t="shared" si="87"/>
        <v>46000</v>
      </c>
      <c r="U125" s="158">
        <f t="shared" si="87"/>
        <v>62865.36</v>
      </c>
      <c r="V125" s="158">
        <f t="shared" si="87"/>
        <v>74000</v>
      </c>
      <c r="W125" s="158">
        <f t="shared" si="87"/>
        <v>46496.740000000005</v>
      </c>
      <c r="X125" s="158">
        <f t="shared" si="87"/>
        <v>48988</v>
      </c>
      <c r="Y125" s="158">
        <f t="shared" si="87"/>
        <v>40535.71</v>
      </c>
      <c r="Z125" s="158">
        <f t="shared" si="87"/>
        <v>36000</v>
      </c>
      <c r="AA125" s="158">
        <f t="shared" ref="AA125:BN125" si="88">SUM(AA126:AA129)</f>
        <v>51106</v>
      </c>
      <c r="AB125" s="158">
        <f t="shared" si="88"/>
        <v>42900</v>
      </c>
      <c r="AC125" s="158">
        <f t="shared" si="88"/>
        <v>48000</v>
      </c>
      <c r="AD125" s="158">
        <f t="shared" si="88"/>
        <v>60000</v>
      </c>
      <c r="AE125" s="158">
        <f t="shared" si="88"/>
        <v>55315</v>
      </c>
      <c r="AF125" s="158">
        <f t="shared" si="88"/>
        <v>63000</v>
      </c>
      <c r="AG125" s="158">
        <f t="shared" si="88"/>
        <v>33576.35</v>
      </c>
      <c r="AH125" s="158">
        <f t="shared" si="88"/>
        <v>55200</v>
      </c>
      <c r="AI125" s="158">
        <f t="shared" si="88"/>
        <v>46395.92</v>
      </c>
      <c r="AJ125" s="158">
        <f t="shared" si="88"/>
        <v>42000</v>
      </c>
      <c r="AK125" s="158">
        <f t="shared" si="88"/>
        <v>33750</v>
      </c>
      <c r="AL125" s="158">
        <f t="shared" si="88"/>
        <v>33600</v>
      </c>
      <c r="AM125" s="158">
        <f t="shared" si="88"/>
        <v>40467</v>
      </c>
      <c r="AN125" s="158">
        <f t="shared" si="88"/>
        <v>34000</v>
      </c>
      <c r="AO125" s="158">
        <f t="shared" si="88"/>
        <v>0</v>
      </c>
      <c r="AP125" s="158">
        <f t="shared" si="88"/>
        <v>0</v>
      </c>
      <c r="AQ125" s="158">
        <f t="shared" si="88"/>
        <v>0</v>
      </c>
      <c r="AR125" s="158">
        <f t="shared" si="88"/>
        <v>0</v>
      </c>
      <c r="AS125" s="158">
        <f t="shared" si="88"/>
        <v>0</v>
      </c>
      <c r="AT125" s="158">
        <f t="shared" si="88"/>
        <v>0</v>
      </c>
      <c r="AU125" s="158">
        <f t="shared" si="88"/>
        <v>0</v>
      </c>
      <c r="AV125" s="158">
        <f t="shared" si="88"/>
        <v>0</v>
      </c>
      <c r="AW125" s="158">
        <f t="shared" si="88"/>
        <v>0</v>
      </c>
      <c r="AX125" s="158">
        <f t="shared" si="88"/>
        <v>0</v>
      </c>
      <c r="AY125" s="158">
        <f t="shared" si="88"/>
        <v>0</v>
      </c>
      <c r="AZ125" s="158">
        <f t="shared" si="88"/>
        <v>0</v>
      </c>
      <c r="BA125" s="158">
        <f t="shared" si="88"/>
        <v>0</v>
      </c>
      <c r="BB125" s="158">
        <f t="shared" si="88"/>
        <v>0</v>
      </c>
      <c r="BC125" s="158">
        <f t="shared" si="88"/>
        <v>0</v>
      </c>
      <c r="BD125" s="158">
        <f t="shared" si="88"/>
        <v>0</v>
      </c>
      <c r="BE125" s="158">
        <f t="shared" si="88"/>
        <v>0</v>
      </c>
      <c r="BF125" s="158">
        <f t="shared" si="88"/>
        <v>0</v>
      </c>
      <c r="BG125" s="158">
        <f t="shared" si="88"/>
        <v>0</v>
      </c>
      <c r="BH125" s="158">
        <f t="shared" si="88"/>
        <v>0</v>
      </c>
      <c r="BI125" s="158">
        <f t="shared" si="88"/>
        <v>0</v>
      </c>
      <c r="BJ125" s="158">
        <f t="shared" si="88"/>
        <v>0</v>
      </c>
      <c r="BK125" s="158">
        <f t="shared" si="88"/>
        <v>0</v>
      </c>
      <c r="BL125" s="158">
        <f t="shared" si="88"/>
        <v>0</v>
      </c>
      <c r="BM125" s="158">
        <f t="shared" si="88"/>
        <v>80807.430000000008</v>
      </c>
      <c r="BN125" s="158">
        <f t="shared" si="88"/>
        <v>81000</v>
      </c>
      <c r="BO125" s="158">
        <f>SUM(BO126:BO129)</f>
        <v>113358.56999999999</v>
      </c>
      <c r="BP125" s="158">
        <f>SUM(BP126:BP129)</f>
        <v>134280</v>
      </c>
    </row>
    <row r="126" spans="1:69" s="2" customFormat="1" x14ac:dyDescent="0.2">
      <c r="A126" s="25"/>
      <c r="B126" s="26"/>
      <c r="C126" s="31" t="s">
        <v>31</v>
      </c>
      <c r="D126" s="23"/>
      <c r="E126" s="381">
        <f t="shared" ref="E126:F129" si="89">SUMIF($G$2:$BP$2,E$2,($G126:$BP126))</f>
        <v>850169.56</v>
      </c>
      <c r="F126" s="381">
        <f t="shared" si="89"/>
        <v>923000</v>
      </c>
      <c r="G126" s="447">
        <f>43271.3+16200+10000</f>
        <v>69471.3</v>
      </c>
      <c r="H126" s="447">
        <f>6000*12</f>
        <v>72000</v>
      </c>
      <c r="I126" s="447">
        <v>28900</v>
      </c>
      <c r="J126" s="447">
        <v>30000</v>
      </c>
      <c r="K126" s="447">
        <v>45934.020000000004</v>
      </c>
      <c r="L126" s="447">
        <v>46000</v>
      </c>
      <c r="M126" s="447">
        <v>62038.21</v>
      </c>
      <c r="N126" s="447">
        <v>65000</v>
      </c>
      <c r="O126" s="447">
        <v>40832</v>
      </c>
      <c r="P126" s="447">
        <v>36000</v>
      </c>
      <c r="Q126" s="447">
        <v>50556.89</v>
      </c>
      <c r="R126" s="447">
        <v>55000</v>
      </c>
      <c r="S126" s="447">
        <v>38434.25</v>
      </c>
      <c r="T126" s="447">
        <v>40000</v>
      </c>
      <c r="U126" s="447">
        <v>50777.36</v>
      </c>
      <c r="V126" s="447">
        <v>60000</v>
      </c>
      <c r="W126" s="447">
        <v>37717.9</v>
      </c>
      <c r="X126" s="447">
        <v>40000</v>
      </c>
      <c r="Y126" s="447">
        <v>40535.71</v>
      </c>
      <c r="Z126" s="447">
        <v>36000</v>
      </c>
      <c r="AA126" s="440">
        <v>45200</v>
      </c>
      <c r="AB126" s="440">
        <v>36000</v>
      </c>
      <c r="AC126" s="447">
        <v>36000</v>
      </c>
      <c r="AD126" s="447">
        <v>48000</v>
      </c>
      <c r="AE126" s="440">
        <v>48000</v>
      </c>
      <c r="AF126" s="440">
        <v>55000</v>
      </c>
      <c r="AG126" s="440">
        <v>33576.35</v>
      </c>
      <c r="AH126" s="440">
        <f>4000*12</f>
        <v>48000</v>
      </c>
      <c r="AI126" s="447">
        <v>36207.919999999998</v>
      </c>
      <c r="AJ126" s="447">
        <v>32000</v>
      </c>
      <c r="AK126" s="440">
        <v>25000</v>
      </c>
      <c r="AL126" s="440">
        <v>25000</v>
      </c>
      <c r="AM126" s="447">
        <v>32962</v>
      </c>
      <c r="AN126" s="447">
        <v>26000</v>
      </c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447">
        <v>65220.87</v>
      </c>
      <c r="BN126" s="447">
        <v>65000</v>
      </c>
      <c r="BO126" s="447">
        <v>62804.78</v>
      </c>
      <c r="BP126" s="447">
        <f>9000*12</f>
        <v>108000</v>
      </c>
    </row>
    <row r="127" spans="1:69" x14ac:dyDescent="0.2">
      <c r="A127" s="25"/>
      <c r="B127" s="26"/>
      <c r="C127" s="31" t="s">
        <v>32</v>
      </c>
      <c r="D127" s="23"/>
      <c r="E127" s="381">
        <f t="shared" si="89"/>
        <v>48834.46</v>
      </c>
      <c r="F127" s="381">
        <f t="shared" si="89"/>
        <v>29000</v>
      </c>
      <c r="G127" s="447">
        <v>2000</v>
      </c>
      <c r="H127" s="447">
        <v>2000</v>
      </c>
      <c r="I127" s="447">
        <v>0</v>
      </c>
      <c r="J127" s="447">
        <v>0</v>
      </c>
      <c r="K127" s="447">
        <v>0</v>
      </c>
      <c r="L127" s="447">
        <v>0</v>
      </c>
      <c r="M127" s="447">
        <v>0</v>
      </c>
      <c r="N127" s="447">
        <v>0</v>
      </c>
      <c r="O127" s="447">
        <v>2300</v>
      </c>
      <c r="P127" s="447">
        <v>3000</v>
      </c>
      <c r="Q127" s="447"/>
      <c r="R127" s="447"/>
      <c r="S127" s="447">
        <v>1440</v>
      </c>
      <c r="T127" s="447">
        <v>1000</v>
      </c>
      <c r="U127" s="447">
        <v>3100</v>
      </c>
      <c r="V127" s="447">
        <v>5000</v>
      </c>
      <c r="W127" s="447">
        <v>0</v>
      </c>
      <c r="X127" s="447">
        <v>0</v>
      </c>
      <c r="Y127" s="447"/>
      <c r="Z127" s="447"/>
      <c r="AA127" s="440">
        <v>0</v>
      </c>
      <c r="AB127" s="440">
        <v>0</v>
      </c>
      <c r="AC127" s="447">
        <v>0</v>
      </c>
      <c r="AD127" s="447">
        <v>0</v>
      </c>
      <c r="AE127" s="440">
        <v>0</v>
      </c>
      <c r="AF127" s="440">
        <v>0</v>
      </c>
      <c r="AG127" s="440">
        <v>0</v>
      </c>
      <c r="AH127" s="440">
        <v>0</v>
      </c>
      <c r="AI127" s="447">
        <v>0</v>
      </c>
      <c r="AJ127" s="447">
        <v>0</v>
      </c>
      <c r="AK127" s="440">
        <v>0</v>
      </c>
      <c r="AL127" s="440">
        <v>0</v>
      </c>
      <c r="AM127" s="447">
        <v>0</v>
      </c>
      <c r="AN127" s="447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447">
        <v>0</v>
      </c>
      <c r="BN127" s="447">
        <v>0</v>
      </c>
      <c r="BO127" s="447">
        <v>39994.46</v>
      </c>
      <c r="BP127" s="447">
        <f>1500*12</f>
        <v>18000</v>
      </c>
    </row>
    <row r="128" spans="1:69" x14ac:dyDescent="0.2">
      <c r="A128" s="25"/>
      <c r="B128" s="26"/>
      <c r="C128" s="31" t="s">
        <v>33</v>
      </c>
      <c r="D128" s="23"/>
      <c r="E128" s="381">
        <f t="shared" si="89"/>
        <v>134993.78</v>
      </c>
      <c r="F128" s="381">
        <f t="shared" si="89"/>
        <v>144343.6</v>
      </c>
      <c r="G128" s="447">
        <f>400*12</f>
        <v>4800</v>
      </c>
      <c r="H128" s="447">
        <f>400*12</f>
        <v>4800</v>
      </c>
      <c r="I128" s="447">
        <v>8500</v>
      </c>
      <c r="J128" s="447">
        <v>10000</v>
      </c>
      <c r="K128" s="447">
        <v>0</v>
      </c>
      <c r="L128" s="447">
        <v>0</v>
      </c>
      <c r="M128" s="447">
        <v>6733.85</v>
      </c>
      <c r="N128" s="447">
        <v>7200</v>
      </c>
      <c r="O128" s="447">
        <v>6800</v>
      </c>
      <c r="P128" s="447">
        <v>6800</v>
      </c>
      <c r="Q128" s="447">
        <v>7575.6</v>
      </c>
      <c r="R128" s="447">
        <v>7575.6</v>
      </c>
      <c r="S128" s="447">
        <v>5007.6000000000004</v>
      </c>
      <c r="T128" s="447">
        <v>5000</v>
      </c>
      <c r="U128" s="447">
        <v>8988</v>
      </c>
      <c r="V128" s="447">
        <v>9000</v>
      </c>
      <c r="W128" s="447">
        <v>8778.84</v>
      </c>
      <c r="X128" s="447">
        <v>8988</v>
      </c>
      <c r="Y128" s="447"/>
      <c r="Z128" s="447"/>
      <c r="AA128" s="440">
        <v>5906</v>
      </c>
      <c r="AB128" s="440">
        <v>6900</v>
      </c>
      <c r="AC128" s="447">
        <v>12000</v>
      </c>
      <c r="AD128" s="447">
        <f>12000</f>
        <v>12000</v>
      </c>
      <c r="AE128" s="440">
        <v>7315</v>
      </c>
      <c r="AF128" s="440">
        <v>8000</v>
      </c>
      <c r="AG128" s="440">
        <v>0</v>
      </c>
      <c r="AH128" s="440">
        <v>7200</v>
      </c>
      <c r="AI128" s="447">
        <v>10188</v>
      </c>
      <c r="AJ128" s="447">
        <v>10000</v>
      </c>
      <c r="AK128" s="440">
        <v>8750</v>
      </c>
      <c r="AL128" s="440">
        <v>8600</v>
      </c>
      <c r="AM128" s="447">
        <v>7505</v>
      </c>
      <c r="AN128" s="447">
        <v>8000</v>
      </c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447">
        <v>15586.56</v>
      </c>
      <c r="BN128" s="447">
        <v>16000</v>
      </c>
      <c r="BO128" s="447">
        <v>10559.33</v>
      </c>
      <c r="BP128" s="447">
        <f>690*12</f>
        <v>8280</v>
      </c>
    </row>
    <row r="129" spans="1:68" x14ac:dyDescent="0.2">
      <c r="A129" s="25"/>
      <c r="B129" s="26"/>
      <c r="C129" s="31" t="s">
        <v>34</v>
      </c>
      <c r="D129" s="23"/>
      <c r="E129" s="381">
        <f t="shared" si="89"/>
        <v>0</v>
      </c>
      <c r="F129" s="381">
        <f t="shared" si="89"/>
        <v>0</v>
      </c>
      <c r="G129" s="447">
        <v>0</v>
      </c>
      <c r="H129" s="447">
        <v>0</v>
      </c>
      <c r="I129" s="447">
        <v>0</v>
      </c>
      <c r="J129" s="447">
        <v>0</v>
      </c>
      <c r="K129" s="447">
        <v>0</v>
      </c>
      <c r="L129" s="447">
        <v>0</v>
      </c>
      <c r="M129" s="447">
        <v>0</v>
      </c>
      <c r="N129" s="447">
        <v>0</v>
      </c>
      <c r="O129" s="6"/>
      <c r="P129" s="6"/>
      <c r="Q129" s="447"/>
      <c r="R129" s="447"/>
      <c r="S129" s="447"/>
      <c r="T129" s="447"/>
      <c r="U129" s="447"/>
      <c r="V129" s="447"/>
      <c r="W129" s="447">
        <v>0</v>
      </c>
      <c r="X129" s="447">
        <v>0</v>
      </c>
      <c r="Y129" s="447"/>
      <c r="Z129" s="447"/>
      <c r="AA129" s="440">
        <v>0</v>
      </c>
      <c r="AB129" s="440">
        <v>0</v>
      </c>
      <c r="AC129" s="447">
        <v>0</v>
      </c>
      <c r="AD129" s="447">
        <v>0</v>
      </c>
      <c r="AE129" s="440">
        <v>0</v>
      </c>
      <c r="AF129" s="440">
        <v>0</v>
      </c>
      <c r="AG129" s="440">
        <v>0</v>
      </c>
      <c r="AH129" s="440">
        <v>0</v>
      </c>
      <c r="AI129" s="447">
        <v>0</v>
      </c>
      <c r="AJ129" s="447">
        <v>0</v>
      </c>
      <c r="AK129" s="440">
        <v>0</v>
      </c>
      <c r="AL129" s="440">
        <v>0</v>
      </c>
      <c r="AM129" s="447">
        <v>0</v>
      </c>
      <c r="AN129" s="447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447">
        <v>0</v>
      </c>
      <c r="BN129" s="447">
        <v>0</v>
      </c>
      <c r="BO129" s="447"/>
      <c r="BP129" s="447"/>
    </row>
    <row r="130" spans="1:68" s="2" customFormat="1" x14ac:dyDescent="0.2">
      <c r="A130" s="156"/>
      <c r="B130" s="159">
        <v>2.2999999999999998</v>
      </c>
      <c r="C130" s="160" t="s">
        <v>35</v>
      </c>
      <c r="D130" s="161"/>
      <c r="E130" s="158">
        <f>SUM(E131:E141)</f>
        <v>2386908.0699999998</v>
      </c>
      <c r="F130" s="158">
        <f>SUM(F131:F141)</f>
        <v>1982200</v>
      </c>
      <c r="G130" s="158">
        <f t="shared" ref="G130:Z130" si="90">SUM(G131:G141)</f>
        <v>67712.399999999994</v>
      </c>
      <c r="H130" s="158">
        <f>SUM(H131:H141)</f>
        <v>92000</v>
      </c>
      <c r="I130" s="158">
        <f t="shared" si="90"/>
        <v>65000</v>
      </c>
      <c r="J130" s="158">
        <f t="shared" si="90"/>
        <v>60000</v>
      </c>
      <c r="K130" s="158">
        <f t="shared" si="90"/>
        <v>78920</v>
      </c>
      <c r="L130" s="158">
        <f t="shared" si="90"/>
        <v>60000</v>
      </c>
      <c r="M130" s="158">
        <f t="shared" si="90"/>
        <v>76674</v>
      </c>
      <c r="N130" s="158">
        <f t="shared" si="90"/>
        <v>110000</v>
      </c>
      <c r="O130" s="158">
        <f t="shared" si="90"/>
        <v>46400</v>
      </c>
      <c r="P130" s="158">
        <f t="shared" si="90"/>
        <v>50000</v>
      </c>
      <c r="Q130" s="158">
        <f t="shared" si="90"/>
        <v>53690</v>
      </c>
      <c r="R130" s="158">
        <f t="shared" si="90"/>
        <v>66000</v>
      </c>
      <c r="S130" s="158">
        <f t="shared" si="90"/>
        <v>113020</v>
      </c>
      <c r="T130" s="158">
        <f t="shared" si="90"/>
        <v>85000</v>
      </c>
      <c r="U130" s="158">
        <f t="shared" si="90"/>
        <v>95929</v>
      </c>
      <c r="V130" s="158">
        <f t="shared" si="90"/>
        <v>120000</v>
      </c>
      <c r="W130" s="158">
        <f t="shared" si="90"/>
        <v>82100</v>
      </c>
      <c r="X130" s="158">
        <f t="shared" si="90"/>
        <v>105000</v>
      </c>
      <c r="Y130" s="158">
        <f t="shared" si="90"/>
        <v>88622</v>
      </c>
      <c r="Z130" s="158">
        <f t="shared" si="90"/>
        <v>83000</v>
      </c>
      <c r="AA130" s="158">
        <f t="shared" ref="AA130:BN130" si="91">SUM(AA131:AA141)</f>
        <v>67000</v>
      </c>
      <c r="AB130" s="158">
        <f t="shared" si="91"/>
        <v>59000</v>
      </c>
      <c r="AC130" s="158">
        <f t="shared" si="91"/>
        <v>103000</v>
      </c>
      <c r="AD130" s="158">
        <f t="shared" si="91"/>
        <v>102000</v>
      </c>
      <c r="AE130" s="158">
        <f t="shared" si="91"/>
        <v>183990</v>
      </c>
      <c r="AF130" s="158">
        <f t="shared" si="91"/>
        <v>71000</v>
      </c>
      <c r="AG130" s="158">
        <f t="shared" si="91"/>
        <v>270830</v>
      </c>
      <c r="AH130" s="158">
        <f t="shared" si="91"/>
        <v>75000</v>
      </c>
      <c r="AI130" s="158">
        <f t="shared" si="91"/>
        <v>126140</v>
      </c>
      <c r="AJ130" s="158">
        <f t="shared" si="91"/>
        <v>149000</v>
      </c>
      <c r="AK130" s="158">
        <f t="shared" si="91"/>
        <v>60000</v>
      </c>
      <c r="AL130" s="158">
        <f t="shared" si="91"/>
        <v>50000</v>
      </c>
      <c r="AM130" s="158">
        <f t="shared" si="91"/>
        <v>102750</v>
      </c>
      <c r="AN130" s="158">
        <f t="shared" si="91"/>
        <v>125000</v>
      </c>
      <c r="AO130" s="158">
        <f t="shared" si="91"/>
        <v>0</v>
      </c>
      <c r="AP130" s="158">
        <f t="shared" si="91"/>
        <v>0</v>
      </c>
      <c r="AQ130" s="158">
        <f t="shared" si="91"/>
        <v>0</v>
      </c>
      <c r="AR130" s="158">
        <f t="shared" si="91"/>
        <v>0</v>
      </c>
      <c r="AS130" s="158">
        <f t="shared" si="91"/>
        <v>0</v>
      </c>
      <c r="AT130" s="158">
        <f t="shared" si="91"/>
        <v>0</v>
      </c>
      <c r="AU130" s="158">
        <f t="shared" si="91"/>
        <v>0</v>
      </c>
      <c r="AV130" s="158">
        <f t="shared" si="91"/>
        <v>0</v>
      </c>
      <c r="AW130" s="158">
        <f t="shared" si="91"/>
        <v>0</v>
      </c>
      <c r="AX130" s="158">
        <f t="shared" si="91"/>
        <v>0</v>
      </c>
      <c r="AY130" s="158">
        <f t="shared" si="91"/>
        <v>0</v>
      </c>
      <c r="AZ130" s="158">
        <f t="shared" si="91"/>
        <v>0</v>
      </c>
      <c r="BA130" s="158">
        <f t="shared" si="91"/>
        <v>0</v>
      </c>
      <c r="BB130" s="158">
        <f t="shared" si="91"/>
        <v>0</v>
      </c>
      <c r="BC130" s="158">
        <f t="shared" si="91"/>
        <v>0</v>
      </c>
      <c r="BD130" s="158">
        <f t="shared" si="91"/>
        <v>0</v>
      </c>
      <c r="BE130" s="158">
        <f t="shared" si="91"/>
        <v>0</v>
      </c>
      <c r="BF130" s="158">
        <f t="shared" si="91"/>
        <v>0</v>
      </c>
      <c r="BG130" s="158">
        <f t="shared" si="91"/>
        <v>0</v>
      </c>
      <c r="BH130" s="158">
        <f t="shared" si="91"/>
        <v>0</v>
      </c>
      <c r="BI130" s="158">
        <f t="shared" si="91"/>
        <v>0</v>
      </c>
      <c r="BJ130" s="158">
        <f t="shared" si="91"/>
        <v>0</v>
      </c>
      <c r="BK130" s="158">
        <f t="shared" si="91"/>
        <v>0</v>
      </c>
      <c r="BL130" s="158">
        <f t="shared" si="91"/>
        <v>0</v>
      </c>
      <c r="BM130" s="158">
        <f t="shared" si="91"/>
        <v>219630.66</v>
      </c>
      <c r="BN130" s="158">
        <f t="shared" si="91"/>
        <v>97000</v>
      </c>
      <c r="BO130" s="158">
        <f>SUM(BO131:BO141)</f>
        <v>485500.01</v>
      </c>
      <c r="BP130" s="158">
        <f>SUM(BP131:BP141)</f>
        <v>423200</v>
      </c>
    </row>
    <row r="131" spans="1:68" x14ac:dyDescent="0.2">
      <c r="A131" s="25"/>
      <c r="B131" s="26"/>
      <c r="C131" s="31" t="s">
        <v>763</v>
      </c>
      <c r="D131" s="23"/>
      <c r="E131" s="381">
        <f t="shared" ref="E131:F141" si="92">SUMIF($G$2:$BP$2,E$2,($G131:$BP131))</f>
        <v>884066.22</v>
      </c>
      <c r="F131" s="381">
        <f t="shared" si="92"/>
        <v>863000</v>
      </c>
      <c r="G131" s="447">
        <v>25000</v>
      </c>
      <c r="H131" s="447">
        <v>48000</v>
      </c>
      <c r="I131" s="447">
        <v>30000</v>
      </c>
      <c r="J131" s="447">
        <v>25000</v>
      </c>
      <c r="K131" s="447">
        <v>45620</v>
      </c>
      <c r="L131" s="447">
        <v>36000</v>
      </c>
      <c r="M131" s="447">
        <v>34520</v>
      </c>
      <c r="N131" s="447">
        <v>35000</v>
      </c>
      <c r="O131" s="447">
        <v>14900</v>
      </c>
      <c r="P131" s="447">
        <v>20000</v>
      </c>
      <c r="Q131" s="447">
        <v>22970</v>
      </c>
      <c r="R131" s="447">
        <v>36000</v>
      </c>
      <c r="S131" s="447">
        <v>92640</v>
      </c>
      <c r="T131" s="447">
        <v>50000</v>
      </c>
      <c r="U131" s="447">
        <v>40055</v>
      </c>
      <c r="V131" s="447">
        <v>50000</v>
      </c>
      <c r="W131" s="447">
        <v>32500</v>
      </c>
      <c r="X131" s="447">
        <v>35000</v>
      </c>
      <c r="Y131" s="447">
        <v>36800</v>
      </c>
      <c r="Z131" s="447">
        <v>36000</v>
      </c>
      <c r="AA131" s="440">
        <v>23000</v>
      </c>
      <c r="AB131" s="440">
        <v>20000</v>
      </c>
      <c r="AC131" s="464">
        <v>53500</v>
      </c>
      <c r="AD131" s="464">
        <v>50000</v>
      </c>
      <c r="AE131" s="440">
        <v>87800</v>
      </c>
      <c r="AF131" s="440">
        <v>36000</v>
      </c>
      <c r="AG131" s="440">
        <v>40830</v>
      </c>
      <c r="AH131" s="440">
        <v>40000</v>
      </c>
      <c r="AI131" s="447">
        <v>34356</v>
      </c>
      <c r="AJ131" s="447">
        <v>60000</v>
      </c>
      <c r="AK131" s="440">
        <v>30000</v>
      </c>
      <c r="AL131" s="440">
        <v>30000</v>
      </c>
      <c r="AM131" s="447">
        <v>42750</v>
      </c>
      <c r="AN131" s="447">
        <v>60000</v>
      </c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447">
        <v>46502.22</v>
      </c>
      <c r="BN131" s="447">
        <v>46000</v>
      </c>
      <c r="BO131" s="447">
        <v>150323</v>
      </c>
      <c r="BP131" s="447">
        <v>150000</v>
      </c>
    </row>
    <row r="132" spans="1:68" x14ac:dyDescent="0.2">
      <c r="A132" s="25"/>
      <c r="B132" s="26"/>
      <c r="C132" s="31" t="s">
        <v>764</v>
      </c>
      <c r="D132" s="23"/>
      <c r="E132" s="381">
        <f t="shared" si="92"/>
        <v>34440</v>
      </c>
      <c r="F132" s="381">
        <f t="shared" si="92"/>
        <v>40000</v>
      </c>
      <c r="G132" s="447">
        <v>0</v>
      </c>
      <c r="H132" s="447">
        <v>0</v>
      </c>
      <c r="I132" s="447">
        <v>0</v>
      </c>
      <c r="J132" s="447">
        <v>0</v>
      </c>
      <c r="K132" s="447">
        <v>0</v>
      </c>
      <c r="L132" s="447">
        <v>0</v>
      </c>
      <c r="M132" s="447">
        <v>0</v>
      </c>
      <c r="N132" s="447">
        <v>0</v>
      </c>
      <c r="O132" s="447"/>
      <c r="P132" s="447"/>
      <c r="Q132" s="447"/>
      <c r="R132" s="447"/>
      <c r="S132" s="447"/>
      <c r="T132" s="447"/>
      <c r="U132" s="447"/>
      <c r="V132" s="447"/>
      <c r="W132" s="447">
        <v>0</v>
      </c>
      <c r="X132" s="447">
        <v>5000</v>
      </c>
      <c r="Y132" s="447"/>
      <c r="Z132" s="447"/>
      <c r="AA132" s="440">
        <v>0</v>
      </c>
      <c r="AB132" s="440">
        <v>0</v>
      </c>
      <c r="AC132" s="464">
        <v>0</v>
      </c>
      <c r="AD132" s="464">
        <v>0</v>
      </c>
      <c r="AE132" s="440">
        <v>4200</v>
      </c>
      <c r="AF132" s="440">
        <v>0</v>
      </c>
      <c r="AG132" s="440">
        <v>0</v>
      </c>
      <c r="AH132" s="440">
        <v>5000</v>
      </c>
      <c r="AI132" s="447">
        <v>0</v>
      </c>
      <c r="AJ132" s="447">
        <v>0</v>
      </c>
      <c r="AK132" s="440">
        <v>0</v>
      </c>
      <c r="AL132" s="440">
        <v>0</v>
      </c>
      <c r="AM132" s="447">
        <v>0</v>
      </c>
      <c r="AN132" s="447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447">
        <v>0</v>
      </c>
      <c r="BN132" s="447">
        <v>0</v>
      </c>
      <c r="BO132" s="447">
        <v>30240</v>
      </c>
      <c r="BP132" s="447">
        <f>30000</f>
        <v>30000</v>
      </c>
    </row>
    <row r="133" spans="1:68" x14ac:dyDescent="0.2">
      <c r="A133" s="25"/>
      <c r="B133" s="26"/>
      <c r="C133" s="31" t="s">
        <v>765</v>
      </c>
      <c r="D133" s="23"/>
      <c r="E133" s="381">
        <f t="shared" si="92"/>
        <v>170777.40999999997</v>
      </c>
      <c r="F133" s="381">
        <f t="shared" si="92"/>
        <v>157000</v>
      </c>
      <c r="G133" s="447">
        <v>842.4</v>
      </c>
      <c r="H133" s="447">
        <v>3000</v>
      </c>
      <c r="I133" s="447">
        <v>0</v>
      </c>
      <c r="J133" s="447">
        <v>0</v>
      </c>
      <c r="K133" s="447">
        <v>0</v>
      </c>
      <c r="L133" s="447">
        <v>0</v>
      </c>
      <c r="M133" s="447">
        <v>1000</v>
      </c>
      <c r="N133" s="447">
        <v>10000</v>
      </c>
      <c r="O133" s="447"/>
      <c r="P133" s="447"/>
      <c r="Q133" s="447"/>
      <c r="R133" s="447"/>
      <c r="S133" s="447"/>
      <c r="T133" s="447"/>
      <c r="U133" s="447"/>
      <c r="V133" s="447"/>
      <c r="W133" s="447">
        <v>0</v>
      </c>
      <c r="X133" s="447">
        <v>0</v>
      </c>
      <c r="Y133" s="447">
        <v>4578</v>
      </c>
      <c r="Z133" s="447">
        <v>9000</v>
      </c>
      <c r="AA133" s="440">
        <v>0</v>
      </c>
      <c r="AB133" s="440">
        <v>0</v>
      </c>
      <c r="AC133" s="464">
        <v>0</v>
      </c>
      <c r="AD133" s="464">
        <v>0</v>
      </c>
      <c r="AE133" s="440">
        <v>10000</v>
      </c>
      <c r="AF133" s="440">
        <v>5000</v>
      </c>
      <c r="AG133" s="440">
        <v>28000</v>
      </c>
      <c r="AH133" s="440">
        <v>10000</v>
      </c>
      <c r="AI133" s="447">
        <v>24000</v>
      </c>
      <c r="AJ133" s="447">
        <v>24000</v>
      </c>
      <c r="AK133" s="440">
        <v>0</v>
      </c>
      <c r="AL133" s="440">
        <v>0</v>
      </c>
      <c r="AM133" s="447">
        <v>0</v>
      </c>
      <c r="AN133" s="447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447">
        <v>0</v>
      </c>
      <c r="BN133" s="447">
        <v>0</v>
      </c>
      <c r="BO133" s="447">
        <v>102357.01</v>
      </c>
      <c r="BP133" s="447">
        <f>8000*12</f>
        <v>96000</v>
      </c>
    </row>
    <row r="134" spans="1:68" x14ac:dyDescent="0.2">
      <c r="A134" s="25"/>
      <c r="B134" s="26"/>
      <c r="C134" s="31" t="s">
        <v>766</v>
      </c>
      <c r="D134" s="23"/>
      <c r="E134" s="381">
        <f t="shared" si="92"/>
        <v>15646</v>
      </c>
      <c r="F134" s="381">
        <f t="shared" si="92"/>
        <v>39000</v>
      </c>
      <c r="G134" s="447">
        <v>0</v>
      </c>
      <c r="H134" s="447">
        <v>0</v>
      </c>
      <c r="I134" s="447">
        <v>0</v>
      </c>
      <c r="J134" s="447">
        <v>0</v>
      </c>
      <c r="K134" s="447">
        <v>3400</v>
      </c>
      <c r="L134" s="447">
        <v>2000</v>
      </c>
      <c r="M134" s="447">
        <v>0</v>
      </c>
      <c r="N134" s="447">
        <v>5000</v>
      </c>
      <c r="O134" s="447">
        <v>4290</v>
      </c>
      <c r="P134" s="447">
        <v>5000</v>
      </c>
      <c r="Q134" s="447">
        <v>4500</v>
      </c>
      <c r="R134" s="447">
        <v>5000</v>
      </c>
      <c r="S134" s="447"/>
      <c r="T134" s="447"/>
      <c r="U134" s="447">
        <v>556</v>
      </c>
      <c r="V134" s="447">
        <v>10000</v>
      </c>
      <c r="W134" s="447">
        <v>0</v>
      </c>
      <c r="X134" s="447">
        <v>5000</v>
      </c>
      <c r="Y134" s="447">
        <v>0</v>
      </c>
      <c r="Z134" s="447">
        <v>2000</v>
      </c>
      <c r="AA134" s="440">
        <v>0</v>
      </c>
      <c r="AB134" s="440">
        <v>0</v>
      </c>
      <c r="AC134" s="464">
        <v>0</v>
      </c>
      <c r="AD134" s="464">
        <v>0</v>
      </c>
      <c r="AE134" s="440">
        <v>0</v>
      </c>
      <c r="AF134" s="440">
        <v>0</v>
      </c>
      <c r="AG134" s="440">
        <v>0</v>
      </c>
      <c r="AH134" s="440">
        <v>0</v>
      </c>
      <c r="AI134" s="447">
        <v>2900</v>
      </c>
      <c r="AJ134" s="447">
        <v>5000</v>
      </c>
      <c r="AK134" s="440">
        <v>0</v>
      </c>
      <c r="AL134" s="440">
        <v>0</v>
      </c>
      <c r="AM134" s="447">
        <v>0</v>
      </c>
      <c r="AN134" s="447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447">
        <v>0</v>
      </c>
      <c r="BN134" s="447">
        <v>0</v>
      </c>
      <c r="BO134" s="447">
        <v>0</v>
      </c>
      <c r="BP134" s="447">
        <v>0</v>
      </c>
    </row>
    <row r="135" spans="1:68" s="2" customFormat="1" x14ac:dyDescent="0.2">
      <c r="A135" s="25"/>
      <c r="B135" s="26"/>
      <c r="C135" s="31" t="s">
        <v>767</v>
      </c>
      <c r="D135" s="23"/>
      <c r="E135" s="381">
        <f t="shared" si="92"/>
        <v>97983.44</v>
      </c>
      <c r="F135" s="381">
        <f t="shared" si="92"/>
        <v>92000</v>
      </c>
      <c r="G135" s="447">
        <v>0</v>
      </c>
      <c r="H135" s="447">
        <v>0</v>
      </c>
      <c r="I135" s="447">
        <v>0</v>
      </c>
      <c r="J135" s="447">
        <v>0</v>
      </c>
      <c r="K135" s="447">
        <v>3600</v>
      </c>
      <c r="L135" s="447">
        <v>2000</v>
      </c>
      <c r="M135" s="447">
        <v>3900</v>
      </c>
      <c r="N135" s="447">
        <v>5000</v>
      </c>
      <c r="O135" s="447"/>
      <c r="P135" s="447"/>
      <c r="Q135" s="447">
        <v>3060</v>
      </c>
      <c r="R135" s="447">
        <v>5000</v>
      </c>
      <c r="S135" s="447"/>
      <c r="T135" s="447">
        <v>10000</v>
      </c>
      <c r="U135" s="447"/>
      <c r="V135" s="447">
        <v>10000</v>
      </c>
      <c r="W135" s="447">
        <v>0</v>
      </c>
      <c r="X135" s="447">
        <v>5000</v>
      </c>
      <c r="Y135" s="447"/>
      <c r="Z135" s="447"/>
      <c r="AA135" s="440">
        <v>0</v>
      </c>
      <c r="AB135" s="440">
        <v>4000</v>
      </c>
      <c r="AC135" s="464">
        <v>0</v>
      </c>
      <c r="AD135" s="464">
        <v>10000</v>
      </c>
      <c r="AE135" s="440">
        <v>0</v>
      </c>
      <c r="AF135" s="440">
        <v>0</v>
      </c>
      <c r="AG135" s="440">
        <v>0</v>
      </c>
      <c r="AH135" s="440">
        <v>0</v>
      </c>
      <c r="AI135" s="447">
        <v>9080</v>
      </c>
      <c r="AJ135" s="447">
        <v>10000</v>
      </c>
      <c r="AK135" s="440">
        <v>0</v>
      </c>
      <c r="AL135" s="440">
        <v>0</v>
      </c>
      <c r="AM135" s="447">
        <v>0</v>
      </c>
      <c r="AN135" s="447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447">
        <v>748.44</v>
      </c>
      <c r="BN135" s="447">
        <v>1000</v>
      </c>
      <c r="BO135" s="447">
        <v>77595</v>
      </c>
      <c r="BP135" s="447">
        <f>30000</f>
        <v>30000</v>
      </c>
    </row>
    <row r="136" spans="1:68" x14ac:dyDescent="0.2">
      <c r="A136" s="25"/>
      <c r="B136" s="26"/>
      <c r="C136" s="31" t="s">
        <v>768</v>
      </c>
      <c r="D136" s="23"/>
      <c r="E136" s="381">
        <f t="shared" si="92"/>
        <v>538112</v>
      </c>
      <c r="F136" s="381">
        <f t="shared" si="92"/>
        <v>349000</v>
      </c>
      <c r="G136" s="447">
        <f>19520+3500</f>
        <v>23020</v>
      </c>
      <c r="H136" s="447">
        <v>20000</v>
      </c>
      <c r="I136" s="447">
        <v>15000</v>
      </c>
      <c r="J136" s="447">
        <v>15000</v>
      </c>
      <c r="K136" s="447">
        <v>5300</v>
      </c>
      <c r="L136" s="447">
        <v>5000</v>
      </c>
      <c r="M136" s="447">
        <v>31374</v>
      </c>
      <c r="N136" s="447">
        <v>30000</v>
      </c>
      <c r="O136" s="447">
        <v>13370</v>
      </c>
      <c r="P136" s="447">
        <v>10000</v>
      </c>
      <c r="Q136" s="447">
        <v>4500</v>
      </c>
      <c r="R136" s="447">
        <v>10000</v>
      </c>
      <c r="S136" s="447">
        <v>0</v>
      </c>
      <c r="T136" s="447">
        <v>10000</v>
      </c>
      <c r="U136" s="447">
        <v>37800</v>
      </c>
      <c r="V136" s="447">
        <v>30000</v>
      </c>
      <c r="W136" s="447">
        <v>29150</v>
      </c>
      <c r="X136" s="447">
        <v>20000</v>
      </c>
      <c r="Y136" s="447">
        <v>4560</v>
      </c>
      <c r="Z136" s="447">
        <v>9000</v>
      </c>
      <c r="AA136" s="440">
        <v>32000</v>
      </c>
      <c r="AB136" s="440">
        <v>20000</v>
      </c>
      <c r="AC136" s="464">
        <v>12000</v>
      </c>
      <c r="AD136" s="464">
        <v>20000</v>
      </c>
      <c r="AE136" s="440">
        <v>14990</v>
      </c>
      <c r="AF136" s="440">
        <v>15000</v>
      </c>
      <c r="AG136" s="440">
        <v>142000</v>
      </c>
      <c r="AH136" s="440">
        <v>10000</v>
      </c>
      <c r="AI136" s="447">
        <v>16508</v>
      </c>
      <c r="AJ136" s="447">
        <v>10000</v>
      </c>
      <c r="AK136" s="440">
        <v>18000</v>
      </c>
      <c r="AL136" s="440">
        <v>10000</v>
      </c>
      <c r="AM136" s="447">
        <v>19500</v>
      </c>
      <c r="AN136" s="447">
        <v>25000</v>
      </c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447">
        <v>28000</v>
      </c>
      <c r="BN136" s="447">
        <v>20000</v>
      </c>
      <c r="BO136" s="447">
        <v>91040</v>
      </c>
      <c r="BP136" s="447">
        <f>60000</f>
        <v>60000</v>
      </c>
    </row>
    <row r="137" spans="1:68" x14ac:dyDescent="0.2">
      <c r="A137" s="25"/>
      <c r="B137" s="26"/>
      <c r="C137" s="31" t="s">
        <v>769</v>
      </c>
      <c r="D137" s="23"/>
      <c r="E137" s="381">
        <f t="shared" si="92"/>
        <v>500853</v>
      </c>
      <c r="F137" s="381">
        <f t="shared" si="92"/>
        <v>318000</v>
      </c>
      <c r="G137" s="447">
        <f>10850+8000</f>
        <v>18850</v>
      </c>
      <c r="H137" s="447">
        <v>15000</v>
      </c>
      <c r="I137" s="447">
        <v>15000</v>
      </c>
      <c r="J137" s="447">
        <v>15000</v>
      </c>
      <c r="K137" s="447">
        <v>21000</v>
      </c>
      <c r="L137" s="447">
        <v>15000</v>
      </c>
      <c r="M137" s="447">
        <v>5880</v>
      </c>
      <c r="N137" s="447">
        <v>10000</v>
      </c>
      <c r="O137" s="447">
        <v>13840</v>
      </c>
      <c r="P137" s="447">
        <v>15000</v>
      </c>
      <c r="Q137" s="447">
        <v>18660</v>
      </c>
      <c r="R137" s="447">
        <v>10000</v>
      </c>
      <c r="S137" s="447">
        <v>20380</v>
      </c>
      <c r="T137" s="447">
        <v>15000</v>
      </c>
      <c r="U137" s="447">
        <v>17518</v>
      </c>
      <c r="V137" s="447">
        <v>20000</v>
      </c>
      <c r="W137" s="447">
        <v>20450</v>
      </c>
      <c r="X137" s="447">
        <v>15000</v>
      </c>
      <c r="Y137" s="447">
        <v>34134</v>
      </c>
      <c r="Z137" s="447">
        <v>18000</v>
      </c>
      <c r="AA137" s="440">
        <v>12000</v>
      </c>
      <c r="AB137" s="440">
        <v>15000</v>
      </c>
      <c r="AC137" s="464">
        <v>37500</v>
      </c>
      <c r="AD137" s="464">
        <v>20000</v>
      </c>
      <c r="AE137" s="440">
        <v>67000</v>
      </c>
      <c r="AF137" s="440">
        <v>15000</v>
      </c>
      <c r="AG137" s="440">
        <v>60000</v>
      </c>
      <c r="AH137" s="440">
        <v>10000</v>
      </c>
      <c r="AI137" s="447">
        <v>30396</v>
      </c>
      <c r="AJ137" s="447">
        <v>30000</v>
      </c>
      <c r="AK137" s="440">
        <v>12000</v>
      </c>
      <c r="AL137" s="440">
        <v>10000</v>
      </c>
      <c r="AM137" s="447">
        <v>27000</v>
      </c>
      <c r="AN137" s="447">
        <v>20000</v>
      </c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447">
        <v>35300</v>
      </c>
      <c r="BN137" s="447">
        <v>20000</v>
      </c>
      <c r="BO137" s="447">
        <v>33945</v>
      </c>
      <c r="BP137" s="447">
        <v>30000</v>
      </c>
    </row>
    <row r="138" spans="1:68" x14ac:dyDescent="0.2">
      <c r="A138" s="25"/>
      <c r="B138" s="26"/>
      <c r="C138" s="31" t="s">
        <v>770</v>
      </c>
      <c r="D138" s="23"/>
      <c r="E138" s="381">
        <f t="shared" si="92"/>
        <v>0</v>
      </c>
      <c r="F138" s="381">
        <f t="shared" si="92"/>
        <v>20200</v>
      </c>
      <c r="G138" s="447">
        <v>0</v>
      </c>
      <c r="H138" s="447">
        <v>6000</v>
      </c>
      <c r="I138" s="447">
        <v>0</v>
      </c>
      <c r="J138" s="447">
        <v>0</v>
      </c>
      <c r="K138" s="447">
        <v>0</v>
      </c>
      <c r="L138" s="447">
        <v>0</v>
      </c>
      <c r="M138" s="447">
        <v>0</v>
      </c>
      <c r="N138" s="447">
        <v>5000</v>
      </c>
      <c r="O138" s="447"/>
      <c r="P138" s="447"/>
      <c r="Q138" s="447"/>
      <c r="R138" s="447"/>
      <c r="S138" s="447"/>
      <c r="T138" s="447"/>
      <c r="U138" s="447"/>
      <c r="V138" s="447"/>
      <c r="W138" s="447">
        <v>0</v>
      </c>
      <c r="X138" s="447">
        <v>0</v>
      </c>
      <c r="Y138" s="447"/>
      <c r="Z138" s="447"/>
      <c r="AA138" s="440">
        <v>0</v>
      </c>
      <c r="AB138" s="440">
        <v>0</v>
      </c>
      <c r="AC138" s="464">
        <v>0</v>
      </c>
      <c r="AD138" s="464">
        <v>2000</v>
      </c>
      <c r="AE138" s="440">
        <v>0</v>
      </c>
      <c r="AF138" s="440">
        <v>0</v>
      </c>
      <c r="AG138" s="440">
        <v>0</v>
      </c>
      <c r="AH138" s="440">
        <v>0</v>
      </c>
      <c r="AI138" s="447">
        <v>0</v>
      </c>
      <c r="AJ138" s="447">
        <v>0</v>
      </c>
      <c r="AK138" s="440">
        <v>0</v>
      </c>
      <c r="AL138" s="440">
        <v>0</v>
      </c>
      <c r="AM138" s="447">
        <v>0</v>
      </c>
      <c r="AN138" s="447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447">
        <v>0</v>
      </c>
      <c r="BN138" s="447">
        <v>0</v>
      </c>
      <c r="BO138" s="447">
        <v>0</v>
      </c>
      <c r="BP138" s="447">
        <f>600*12</f>
        <v>7200</v>
      </c>
    </row>
    <row r="139" spans="1:68" x14ac:dyDescent="0.2">
      <c r="A139" s="25"/>
      <c r="B139" s="26"/>
      <c r="C139" s="31" t="s">
        <v>771</v>
      </c>
      <c r="D139" s="23"/>
      <c r="E139" s="381">
        <f t="shared" si="92"/>
        <v>0</v>
      </c>
      <c r="F139" s="381">
        <f t="shared" si="92"/>
        <v>0</v>
      </c>
      <c r="G139" s="447">
        <v>0</v>
      </c>
      <c r="H139" s="447">
        <v>0</v>
      </c>
      <c r="I139" s="447">
        <v>0</v>
      </c>
      <c r="J139" s="447">
        <v>0</v>
      </c>
      <c r="K139" s="447">
        <v>0</v>
      </c>
      <c r="L139" s="447">
        <v>0</v>
      </c>
      <c r="M139" s="447">
        <v>0</v>
      </c>
      <c r="N139" s="447">
        <v>0</v>
      </c>
      <c r="O139" s="447"/>
      <c r="P139" s="447"/>
      <c r="Q139" s="447"/>
      <c r="R139" s="447"/>
      <c r="S139" s="447"/>
      <c r="T139" s="447"/>
      <c r="U139" s="447"/>
      <c r="V139" s="447"/>
      <c r="W139" s="447">
        <v>0</v>
      </c>
      <c r="X139" s="447">
        <v>0</v>
      </c>
      <c r="Y139" s="447"/>
      <c r="Z139" s="447"/>
      <c r="AA139" s="440">
        <v>0</v>
      </c>
      <c r="AB139" s="440">
        <v>0</v>
      </c>
      <c r="AC139" s="464">
        <v>0</v>
      </c>
      <c r="AD139" s="464">
        <v>0</v>
      </c>
      <c r="AE139" s="440">
        <v>0</v>
      </c>
      <c r="AF139" s="440">
        <v>0</v>
      </c>
      <c r="AG139" s="440">
        <v>0</v>
      </c>
      <c r="AH139" s="440">
        <v>0</v>
      </c>
      <c r="AI139" s="447">
        <v>0</v>
      </c>
      <c r="AJ139" s="447">
        <v>0</v>
      </c>
      <c r="AK139" s="440">
        <v>0</v>
      </c>
      <c r="AL139" s="440">
        <v>0</v>
      </c>
      <c r="AM139" s="447">
        <v>0</v>
      </c>
      <c r="AN139" s="447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447">
        <v>0</v>
      </c>
      <c r="BN139" s="447">
        <v>0</v>
      </c>
      <c r="BO139" s="447">
        <v>0</v>
      </c>
      <c r="BP139" s="447">
        <v>0</v>
      </c>
    </row>
    <row r="140" spans="1:68" x14ac:dyDescent="0.2">
      <c r="A140" s="25"/>
      <c r="B140" s="26"/>
      <c r="C140" s="31" t="s">
        <v>772</v>
      </c>
      <c r="D140" s="23"/>
      <c r="E140" s="381">
        <f t="shared" si="92"/>
        <v>108000</v>
      </c>
      <c r="F140" s="381">
        <f t="shared" si="92"/>
        <v>15000</v>
      </c>
      <c r="G140" s="447">
        <v>0</v>
      </c>
      <c r="H140" s="447">
        <v>0</v>
      </c>
      <c r="I140" s="447">
        <v>0</v>
      </c>
      <c r="J140" s="447">
        <v>0</v>
      </c>
      <c r="K140" s="447">
        <v>0</v>
      </c>
      <c r="L140" s="447">
        <v>0</v>
      </c>
      <c r="M140" s="447">
        <v>0</v>
      </c>
      <c r="N140" s="447">
        <v>0</v>
      </c>
      <c r="O140" s="447"/>
      <c r="P140" s="447"/>
      <c r="Q140" s="447"/>
      <c r="R140" s="447"/>
      <c r="S140" s="447"/>
      <c r="T140" s="447"/>
      <c r="U140" s="447"/>
      <c r="V140" s="447"/>
      <c r="W140" s="447">
        <v>0</v>
      </c>
      <c r="X140" s="447">
        <v>0</v>
      </c>
      <c r="Y140" s="447"/>
      <c r="Z140" s="447"/>
      <c r="AA140" s="440">
        <v>0</v>
      </c>
      <c r="AB140" s="440">
        <v>0</v>
      </c>
      <c r="AC140" s="464">
        <v>0</v>
      </c>
      <c r="AD140" s="464">
        <v>0</v>
      </c>
      <c r="AE140" s="440">
        <v>0</v>
      </c>
      <c r="AF140" s="440">
        <v>0</v>
      </c>
      <c r="AG140" s="440">
        <v>0</v>
      </c>
      <c r="AH140" s="440">
        <v>0</v>
      </c>
      <c r="AI140" s="447">
        <v>0</v>
      </c>
      <c r="AJ140" s="447">
        <v>5000</v>
      </c>
      <c r="AK140" s="440">
        <v>0</v>
      </c>
      <c r="AL140" s="440">
        <v>0</v>
      </c>
      <c r="AM140" s="447">
        <v>0</v>
      </c>
      <c r="AN140" s="447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447">
        <v>108000</v>
      </c>
      <c r="BN140" s="447">
        <v>10000</v>
      </c>
      <c r="BO140" s="447">
        <v>0</v>
      </c>
      <c r="BP140" s="447">
        <v>0</v>
      </c>
    </row>
    <row r="141" spans="1:68" x14ac:dyDescent="0.2">
      <c r="A141" s="25"/>
      <c r="B141" s="26"/>
      <c r="C141" s="31" t="s">
        <v>38</v>
      </c>
      <c r="D141" s="23"/>
      <c r="E141" s="381">
        <f t="shared" si="92"/>
        <v>37030</v>
      </c>
      <c r="F141" s="381">
        <f t="shared" si="92"/>
        <v>89000</v>
      </c>
      <c r="G141" s="447">
        <v>0</v>
      </c>
      <c r="H141" s="447">
        <v>0</v>
      </c>
      <c r="I141" s="447">
        <v>5000</v>
      </c>
      <c r="J141" s="447">
        <v>5000</v>
      </c>
      <c r="K141" s="447">
        <v>0</v>
      </c>
      <c r="L141" s="447">
        <v>0</v>
      </c>
      <c r="M141" s="447">
        <v>0</v>
      </c>
      <c r="N141" s="447">
        <v>10000</v>
      </c>
      <c r="O141" s="447"/>
      <c r="P141" s="447"/>
      <c r="Q141" s="447"/>
      <c r="R141" s="447"/>
      <c r="S141" s="447"/>
      <c r="T141" s="447"/>
      <c r="U141" s="447"/>
      <c r="V141" s="447"/>
      <c r="W141" s="447">
        <v>0</v>
      </c>
      <c r="X141" s="447">
        <v>20000</v>
      </c>
      <c r="Y141" s="447">
        <v>8550</v>
      </c>
      <c r="Z141" s="447">
        <v>9000</v>
      </c>
      <c r="AA141" s="440">
        <v>0</v>
      </c>
      <c r="AB141" s="440">
        <v>0</v>
      </c>
      <c r="AC141" s="464">
        <v>0</v>
      </c>
      <c r="AD141" s="464">
        <v>0</v>
      </c>
      <c r="AE141" s="440">
        <v>0</v>
      </c>
      <c r="AF141" s="440">
        <v>0</v>
      </c>
      <c r="AG141" s="440">
        <v>0</v>
      </c>
      <c r="AH141" s="440">
        <v>0</v>
      </c>
      <c r="AI141" s="447">
        <v>8900</v>
      </c>
      <c r="AJ141" s="447">
        <v>5000</v>
      </c>
      <c r="AK141" s="440">
        <v>0</v>
      </c>
      <c r="AL141" s="440">
        <v>0</v>
      </c>
      <c r="AM141" s="447">
        <v>13500</v>
      </c>
      <c r="AN141" s="447">
        <v>20000</v>
      </c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447">
        <v>1080</v>
      </c>
      <c r="BN141" s="447">
        <v>0</v>
      </c>
      <c r="BO141" s="447">
        <v>0</v>
      </c>
      <c r="BP141" s="447">
        <v>20000</v>
      </c>
    </row>
    <row r="142" spans="1:68" x14ac:dyDescent="0.2">
      <c r="A142" s="156"/>
      <c r="B142" s="159">
        <v>2.4</v>
      </c>
      <c r="C142" s="161" t="s">
        <v>1214</v>
      </c>
      <c r="D142" s="161"/>
      <c r="E142" s="158">
        <f>SUM(E143)</f>
        <v>203440</v>
      </c>
      <c r="F142" s="158">
        <f>SUM(F143)</f>
        <v>203100</v>
      </c>
      <c r="G142" s="158">
        <f>SUM(G143)</f>
        <v>18900</v>
      </c>
      <c r="H142" s="158">
        <f>SUM(H143)</f>
        <v>10000</v>
      </c>
      <c r="I142" s="158">
        <f t="shared" ref="I142:Z142" si="93">SUM(I143)</f>
        <v>15000</v>
      </c>
      <c r="J142" s="158">
        <f t="shared" si="93"/>
        <v>15000</v>
      </c>
      <c r="K142" s="158">
        <f t="shared" si="93"/>
        <v>7200</v>
      </c>
      <c r="L142" s="158">
        <f t="shared" si="93"/>
        <v>29450</v>
      </c>
      <c r="M142" s="158">
        <f t="shared" si="93"/>
        <v>29340</v>
      </c>
      <c r="N142" s="158">
        <f t="shared" si="93"/>
        <v>30000</v>
      </c>
      <c r="O142" s="158">
        <f t="shared" si="93"/>
        <v>81350</v>
      </c>
      <c r="P142" s="158">
        <f t="shared" si="93"/>
        <v>10000</v>
      </c>
      <c r="Q142" s="158">
        <f t="shared" si="93"/>
        <v>0</v>
      </c>
      <c r="R142" s="158">
        <f t="shared" si="93"/>
        <v>0</v>
      </c>
      <c r="S142" s="158">
        <f t="shared" si="93"/>
        <v>0</v>
      </c>
      <c r="T142" s="158">
        <f t="shared" si="93"/>
        <v>0</v>
      </c>
      <c r="U142" s="158">
        <f t="shared" si="93"/>
        <v>7500</v>
      </c>
      <c r="V142" s="158">
        <f t="shared" si="93"/>
        <v>20000</v>
      </c>
      <c r="W142" s="158">
        <f t="shared" si="93"/>
        <v>0</v>
      </c>
      <c r="X142" s="158">
        <f t="shared" si="93"/>
        <v>0</v>
      </c>
      <c r="Y142" s="158">
        <f t="shared" si="93"/>
        <v>9000</v>
      </c>
      <c r="Z142" s="158">
        <f t="shared" si="93"/>
        <v>0</v>
      </c>
      <c r="AA142" s="158">
        <f t="shared" ref="AA142:BN142" si="94">SUM(AA143)</f>
        <v>10000</v>
      </c>
      <c r="AB142" s="158">
        <f t="shared" si="94"/>
        <v>10000</v>
      </c>
      <c r="AC142" s="158">
        <f t="shared" si="94"/>
        <v>0</v>
      </c>
      <c r="AD142" s="158">
        <f t="shared" si="94"/>
        <v>10000</v>
      </c>
      <c r="AE142" s="158">
        <f t="shared" si="94"/>
        <v>0</v>
      </c>
      <c r="AF142" s="158">
        <f t="shared" si="94"/>
        <v>10000</v>
      </c>
      <c r="AG142" s="158">
        <f t="shared" si="94"/>
        <v>0</v>
      </c>
      <c r="AH142" s="158">
        <f t="shared" si="94"/>
        <v>0</v>
      </c>
      <c r="AI142" s="158">
        <f t="shared" si="94"/>
        <v>20350</v>
      </c>
      <c r="AJ142" s="158">
        <f t="shared" si="94"/>
        <v>21700</v>
      </c>
      <c r="AK142" s="158">
        <f t="shared" si="94"/>
        <v>0</v>
      </c>
      <c r="AL142" s="158">
        <f t="shared" si="94"/>
        <v>0</v>
      </c>
      <c r="AM142" s="158">
        <f t="shared" si="94"/>
        <v>4800</v>
      </c>
      <c r="AN142" s="158">
        <f t="shared" si="94"/>
        <v>4950</v>
      </c>
      <c r="AO142" s="158">
        <f t="shared" si="94"/>
        <v>0</v>
      </c>
      <c r="AP142" s="158">
        <f t="shared" si="94"/>
        <v>0</v>
      </c>
      <c r="AQ142" s="158">
        <f t="shared" si="94"/>
        <v>0</v>
      </c>
      <c r="AR142" s="158">
        <f t="shared" si="94"/>
        <v>0</v>
      </c>
      <c r="AS142" s="158">
        <f t="shared" si="94"/>
        <v>0</v>
      </c>
      <c r="AT142" s="158">
        <f t="shared" si="94"/>
        <v>0</v>
      </c>
      <c r="AU142" s="158">
        <f t="shared" si="94"/>
        <v>0</v>
      </c>
      <c r="AV142" s="158">
        <f t="shared" si="94"/>
        <v>0</v>
      </c>
      <c r="AW142" s="158">
        <f t="shared" si="94"/>
        <v>0</v>
      </c>
      <c r="AX142" s="158">
        <f t="shared" si="94"/>
        <v>0</v>
      </c>
      <c r="AY142" s="158">
        <f t="shared" si="94"/>
        <v>0</v>
      </c>
      <c r="AZ142" s="158">
        <f t="shared" si="94"/>
        <v>0</v>
      </c>
      <c r="BA142" s="158">
        <f t="shared" si="94"/>
        <v>0</v>
      </c>
      <c r="BB142" s="158">
        <f t="shared" si="94"/>
        <v>0</v>
      </c>
      <c r="BC142" s="158">
        <f t="shared" si="94"/>
        <v>0</v>
      </c>
      <c r="BD142" s="158">
        <f t="shared" si="94"/>
        <v>0</v>
      </c>
      <c r="BE142" s="158">
        <f t="shared" si="94"/>
        <v>0</v>
      </c>
      <c r="BF142" s="158">
        <f t="shared" si="94"/>
        <v>0</v>
      </c>
      <c r="BG142" s="158">
        <f t="shared" si="94"/>
        <v>0</v>
      </c>
      <c r="BH142" s="158">
        <f t="shared" si="94"/>
        <v>0</v>
      </c>
      <c r="BI142" s="158">
        <f t="shared" si="94"/>
        <v>0</v>
      </c>
      <c r="BJ142" s="158">
        <f t="shared" si="94"/>
        <v>0</v>
      </c>
      <c r="BK142" s="158">
        <f t="shared" si="94"/>
        <v>0</v>
      </c>
      <c r="BL142" s="158">
        <f t="shared" si="94"/>
        <v>0</v>
      </c>
      <c r="BM142" s="158">
        <f t="shared" si="94"/>
        <v>0</v>
      </c>
      <c r="BN142" s="158">
        <f t="shared" si="94"/>
        <v>20000</v>
      </c>
      <c r="BO142" s="158">
        <f>SUM(BO143)</f>
        <v>0</v>
      </c>
      <c r="BP142" s="158">
        <f>SUM(BP143)</f>
        <v>12000</v>
      </c>
    </row>
    <row r="143" spans="1:68" x14ac:dyDescent="0.2">
      <c r="A143" s="25"/>
      <c r="B143" s="26"/>
      <c r="C143" s="23" t="s">
        <v>1214</v>
      </c>
      <c r="D143" s="23"/>
      <c r="E143" s="381">
        <f>SUMIF($G$2:$BP$2,E$2,($G143:$BP143))</f>
        <v>203440</v>
      </c>
      <c r="F143" s="381">
        <f>SUMIF($G$2:$BP$2,F$2,($G143:$BP143))</f>
        <v>203100</v>
      </c>
      <c r="G143" s="440">
        <v>18900</v>
      </c>
      <c r="H143" s="440">
        <v>10000</v>
      </c>
      <c r="I143" s="447">
        <v>15000</v>
      </c>
      <c r="J143" s="447">
        <v>15000</v>
      </c>
      <c r="K143" s="447">
        <v>7200</v>
      </c>
      <c r="L143" s="447">
        <v>29450</v>
      </c>
      <c r="M143" s="440">
        <v>29340</v>
      </c>
      <c r="N143" s="440">
        <v>30000</v>
      </c>
      <c r="O143" s="440">
        <v>81350</v>
      </c>
      <c r="P143" s="440">
        <v>10000</v>
      </c>
      <c r="Q143" s="6"/>
      <c r="R143" s="6"/>
      <c r="S143" s="6">
        <v>0</v>
      </c>
      <c r="T143" s="6">
        <v>0</v>
      </c>
      <c r="U143" s="440">
        <v>7500</v>
      </c>
      <c r="V143" s="440">
        <v>20000</v>
      </c>
      <c r="W143" s="6">
        <v>0</v>
      </c>
      <c r="X143" s="6">
        <v>0</v>
      </c>
      <c r="Y143" s="440">
        <v>9000</v>
      </c>
      <c r="Z143" s="440">
        <v>0</v>
      </c>
      <c r="AA143" s="440">
        <v>10000</v>
      </c>
      <c r="AB143" s="440">
        <v>10000</v>
      </c>
      <c r="AC143" s="463">
        <v>0</v>
      </c>
      <c r="AD143" s="463">
        <v>10000</v>
      </c>
      <c r="AE143" s="440">
        <v>0</v>
      </c>
      <c r="AF143" s="440">
        <v>10000</v>
      </c>
      <c r="AG143" s="440">
        <v>0</v>
      </c>
      <c r="AH143" s="440">
        <v>0</v>
      </c>
      <c r="AI143" s="440">
        <v>20350</v>
      </c>
      <c r="AJ143" s="440">
        <v>21700</v>
      </c>
      <c r="AK143" s="381"/>
      <c r="AL143" s="381"/>
      <c r="AM143" s="440">
        <v>4800</v>
      </c>
      <c r="AN143" s="440">
        <v>4950</v>
      </c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440">
        <v>0</v>
      </c>
      <c r="BN143" s="440">
        <v>20000</v>
      </c>
      <c r="BO143" s="447">
        <v>0</v>
      </c>
      <c r="BP143" s="447">
        <v>12000</v>
      </c>
    </row>
    <row r="144" spans="1:68" s="2" customFormat="1" x14ac:dyDescent="0.2">
      <c r="A144" s="156"/>
      <c r="B144" s="159">
        <v>2.5</v>
      </c>
      <c r="C144" s="161" t="s">
        <v>39</v>
      </c>
      <c r="D144" s="161"/>
      <c r="E144" s="158">
        <f>SUM(E145:E148)</f>
        <v>7955468.3936000001</v>
      </c>
      <c r="F144" s="158">
        <f>SUM(F145:F148)</f>
        <v>8328529</v>
      </c>
      <c r="G144" s="158">
        <f>SUM(G145:G148)</f>
        <v>455124.33300000004</v>
      </c>
      <c r="H144" s="158">
        <f>SUM(H145:H148)</f>
        <v>448000</v>
      </c>
      <c r="I144" s="158">
        <f t="shared" ref="I144:Z144" si="95">SUM(I145:I148)</f>
        <v>249185.49040000001</v>
      </c>
      <c r="J144" s="158">
        <f t="shared" si="95"/>
        <v>289227</v>
      </c>
      <c r="K144" s="158">
        <f t="shared" si="95"/>
        <v>397717.24980000005</v>
      </c>
      <c r="L144" s="158">
        <f t="shared" si="95"/>
        <v>447331</v>
      </c>
      <c r="M144" s="158">
        <f t="shared" si="95"/>
        <v>639647</v>
      </c>
      <c r="N144" s="158">
        <f>SUM(N145:N148)</f>
        <v>568562</v>
      </c>
      <c r="O144" s="158">
        <f t="shared" si="95"/>
        <v>185502</v>
      </c>
      <c r="P144" s="158">
        <f t="shared" si="95"/>
        <v>227603</v>
      </c>
      <c r="Q144" s="158">
        <f t="shared" si="95"/>
        <v>484591</v>
      </c>
      <c r="R144" s="158">
        <f t="shared" si="95"/>
        <v>490000</v>
      </c>
      <c r="S144" s="158">
        <f t="shared" si="95"/>
        <v>611514.99199999997</v>
      </c>
      <c r="T144" s="158">
        <f t="shared" si="95"/>
        <v>582799</v>
      </c>
      <c r="U144" s="158">
        <f t="shared" si="95"/>
        <v>536905.61</v>
      </c>
      <c r="V144" s="158">
        <f t="shared" si="95"/>
        <v>518868</v>
      </c>
      <c r="W144" s="158">
        <f t="shared" si="95"/>
        <v>396415.67</v>
      </c>
      <c r="X144" s="158">
        <f t="shared" si="95"/>
        <v>373452</v>
      </c>
      <c r="Y144" s="158">
        <f t="shared" si="95"/>
        <v>382856.43</v>
      </c>
      <c r="Z144" s="158">
        <f t="shared" si="95"/>
        <v>364071</v>
      </c>
      <c r="AA144" s="158">
        <f t="shared" ref="AA144:BN144" si="96">SUM(AA145:AA148)</f>
        <v>519116</v>
      </c>
      <c r="AB144" s="158">
        <f t="shared" si="96"/>
        <v>290808</v>
      </c>
      <c r="AC144" s="158">
        <f t="shared" si="96"/>
        <v>838757</v>
      </c>
      <c r="AD144" s="158">
        <f t="shared" si="96"/>
        <v>748557</v>
      </c>
      <c r="AE144" s="158">
        <f t="shared" si="96"/>
        <v>450952</v>
      </c>
      <c r="AF144" s="158">
        <f t="shared" si="96"/>
        <v>425241</v>
      </c>
      <c r="AG144" s="158">
        <f t="shared" si="96"/>
        <v>205000</v>
      </c>
      <c r="AH144" s="158">
        <f t="shared" si="96"/>
        <v>214162</v>
      </c>
      <c r="AI144" s="158">
        <f t="shared" si="96"/>
        <v>553370.71879999992</v>
      </c>
      <c r="AJ144" s="158">
        <f t="shared" si="96"/>
        <v>636771</v>
      </c>
      <c r="AK144" s="158">
        <f t="shared" si="96"/>
        <v>221195.74960000004</v>
      </c>
      <c r="AL144" s="158">
        <f t="shared" si="96"/>
        <v>213000</v>
      </c>
      <c r="AM144" s="158">
        <f t="shared" si="96"/>
        <v>358253.14999999997</v>
      </c>
      <c r="AN144" s="158">
        <f t="shared" si="96"/>
        <v>406679</v>
      </c>
      <c r="AO144" s="158">
        <f t="shared" si="96"/>
        <v>0</v>
      </c>
      <c r="AP144" s="158">
        <f t="shared" si="96"/>
        <v>0</v>
      </c>
      <c r="AQ144" s="158">
        <f t="shared" si="96"/>
        <v>0</v>
      </c>
      <c r="AR144" s="158">
        <f t="shared" si="96"/>
        <v>0</v>
      </c>
      <c r="AS144" s="158">
        <f t="shared" si="96"/>
        <v>0</v>
      </c>
      <c r="AT144" s="158">
        <f t="shared" si="96"/>
        <v>0</v>
      </c>
      <c r="AU144" s="158">
        <f t="shared" si="96"/>
        <v>0</v>
      </c>
      <c r="AV144" s="158">
        <f t="shared" si="96"/>
        <v>0</v>
      </c>
      <c r="AW144" s="158">
        <f t="shared" si="96"/>
        <v>0</v>
      </c>
      <c r="AX144" s="158">
        <f t="shared" si="96"/>
        <v>0</v>
      </c>
      <c r="AY144" s="158">
        <f t="shared" si="96"/>
        <v>0</v>
      </c>
      <c r="AZ144" s="158">
        <f t="shared" si="96"/>
        <v>0</v>
      </c>
      <c r="BA144" s="158">
        <f t="shared" si="96"/>
        <v>0</v>
      </c>
      <c r="BB144" s="158">
        <f t="shared" si="96"/>
        <v>0</v>
      </c>
      <c r="BC144" s="158">
        <f t="shared" si="96"/>
        <v>0</v>
      </c>
      <c r="BD144" s="158">
        <f t="shared" si="96"/>
        <v>0</v>
      </c>
      <c r="BE144" s="158">
        <f t="shared" si="96"/>
        <v>0</v>
      </c>
      <c r="BF144" s="158">
        <f t="shared" si="96"/>
        <v>0</v>
      </c>
      <c r="BG144" s="158">
        <f t="shared" si="96"/>
        <v>0</v>
      </c>
      <c r="BH144" s="158">
        <f t="shared" si="96"/>
        <v>0</v>
      </c>
      <c r="BI144" s="158">
        <f t="shared" si="96"/>
        <v>0</v>
      </c>
      <c r="BJ144" s="158">
        <f t="shared" si="96"/>
        <v>0</v>
      </c>
      <c r="BK144" s="158">
        <f t="shared" si="96"/>
        <v>0</v>
      </c>
      <c r="BL144" s="158">
        <f t="shared" si="96"/>
        <v>578836</v>
      </c>
      <c r="BM144" s="158">
        <f t="shared" si="96"/>
        <v>469364</v>
      </c>
      <c r="BN144" s="158">
        <f t="shared" si="96"/>
        <v>504562</v>
      </c>
      <c r="BO144" s="158">
        <f>SUM(BO145:BO148)</f>
        <v>0</v>
      </c>
      <c r="BP144" s="158">
        <f>SUM(BP145:BP148)</f>
        <v>0</v>
      </c>
    </row>
    <row r="145" spans="1:68" x14ac:dyDescent="0.2">
      <c r="A145" s="25"/>
      <c r="B145" s="26"/>
      <c r="C145" s="31" t="s">
        <v>40</v>
      </c>
      <c r="D145" s="23"/>
      <c r="E145" s="381">
        <f t="shared" ref="E145:F148" si="97">SUMIF($G$2:$BP$2,E$2,($G145:$BP145))</f>
        <v>6501825.6415999997</v>
      </c>
      <c r="F145" s="381">
        <f t="shared" si="97"/>
        <v>6981089</v>
      </c>
      <c r="G145" s="447">
        <v>384809.73300000007</v>
      </c>
      <c r="H145" s="447">
        <v>380000</v>
      </c>
      <c r="I145" s="454">
        <v>199675.3904</v>
      </c>
      <c r="J145" s="454">
        <v>250000</v>
      </c>
      <c r="K145" s="447">
        <v>320696.74980000005</v>
      </c>
      <c r="L145" s="447">
        <v>372302</v>
      </c>
      <c r="M145" s="447">
        <v>525255</v>
      </c>
      <c r="N145" s="456">
        <v>420374</v>
      </c>
      <c r="O145" s="447">
        <v>153262</v>
      </c>
      <c r="P145" s="447">
        <v>199000</v>
      </c>
      <c r="Q145" s="447">
        <v>388919</v>
      </c>
      <c r="R145" s="447">
        <v>400000</v>
      </c>
      <c r="S145" s="447">
        <v>463392.02</v>
      </c>
      <c r="T145" s="447">
        <v>454493</v>
      </c>
      <c r="U145" s="447">
        <v>474564.36</v>
      </c>
      <c r="V145" s="447">
        <v>472727</v>
      </c>
      <c r="W145" s="447">
        <v>322928.93</v>
      </c>
      <c r="X145" s="447">
        <v>300000</v>
      </c>
      <c r="Y145" s="447">
        <v>290162.96999999997</v>
      </c>
      <c r="Z145" s="447">
        <v>300000</v>
      </c>
      <c r="AA145" s="440">
        <v>464769</v>
      </c>
      <c r="AB145" s="440">
        <v>262946</v>
      </c>
      <c r="AC145" s="447">
        <v>697648</v>
      </c>
      <c r="AD145" s="447">
        <v>646389</v>
      </c>
      <c r="AE145" s="447">
        <v>377862</v>
      </c>
      <c r="AF145" s="447">
        <v>350000</v>
      </c>
      <c r="AG145" s="447">
        <v>168000</v>
      </c>
      <c r="AH145" s="447">
        <v>168032</v>
      </c>
      <c r="AI145" s="447">
        <v>434003.03879999998</v>
      </c>
      <c r="AJ145" s="458">
        <v>549427</v>
      </c>
      <c r="AK145" s="440">
        <v>167094.84960000005</v>
      </c>
      <c r="AL145" s="440">
        <v>160000</v>
      </c>
      <c r="AM145" s="447">
        <v>268900.59999999998</v>
      </c>
      <c r="AN145" s="447">
        <v>340080</v>
      </c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447"/>
      <c r="BL145" s="447">
        <v>525319</v>
      </c>
      <c r="BM145" s="447">
        <v>399882</v>
      </c>
      <c r="BN145" s="447">
        <v>430000</v>
      </c>
      <c r="BO145" s="447">
        <v>0</v>
      </c>
      <c r="BP145" s="447">
        <v>0</v>
      </c>
    </row>
    <row r="146" spans="1:68" x14ac:dyDescent="0.2">
      <c r="A146" s="25"/>
      <c r="B146" s="26"/>
      <c r="C146" s="31" t="s">
        <v>41</v>
      </c>
      <c r="D146" s="23"/>
      <c r="E146" s="381">
        <f t="shared" si="97"/>
        <v>1242542.662</v>
      </c>
      <c r="F146" s="381">
        <f t="shared" si="97"/>
        <v>1122990</v>
      </c>
      <c r="G146" s="447">
        <v>61969.599999999999</v>
      </c>
      <c r="H146" s="447">
        <v>60000</v>
      </c>
      <c r="I146" s="454">
        <v>44165.1</v>
      </c>
      <c r="J146" s="454">
        <v>36807</v>
      </c>
      <c r="K146" s="447">
        <v>61748.5</v>
      </c>
      <c r="L146" s="447">
        <v>60029</v>
      </c>
      <c r="M146" s="447">
        <v>89120</v>
      </c>
      <c r="N146" s="456">
        <v>91823</v>
      </c>
      <c r="O146" s="447">
        <v>26895</v>
      </c>
      <c r="P146" s="447">
        <v>26000</v>
      </c>
      <c r="Q146" s="447">
        <v>80400</v>
      </c>
      <c r="R146" s="447">
        <v>75000</v>
      </c>
      <c r="S146" s="447">
        <v>123122.97199999999</v>
      </c>
      <c r="T146" s="447">
        <v>103306</v>
      </c>
      <c r="U146" s="447">
        <v>56541.25</v>
      </c>
      <c r="V146" s="447">
        <v>39141</v>
      </c>
      <c r="W146" s="447">
        <v>66946.740000000005</v>
      </c>
      <c r="X146" s="447">
        <v>66421</v>
      </c>
      <c r="Y146" s="447">
        <v>92693.46</v>
      </c>
      <c r="Z146" s="447">
        <v>58443</v>
      </c>
      <c r="AA146" s="440">
        <v>54347</v>
      </c>
      <c r="AB146" s="440">
        <v>24140</v>
      </c>
      <c r="AC146" s="447">
        <v>105837</v>
      </c>
      <c r="AD146" s="447">
        <v>99219</v>
      </c>
      <c r="AE146" s="447">
        <v>47818</v>
      </c>
      <c r="AF146" s="447">
        <v>40000</v>
      </c>
      <c r="AG146" s="447">
        <v>37000</v>
      </c>
      <c r="AH146" s="447">
        <v>40561</v>
      </c>
      <c r="AI146" s="447">
        <v>101173.59</v>
      </c>
      <c r="AJ146" s="447">
        <v>79644</v>
      </c>
      <c r="AK146" s="440">
        <v>38828.9</v>
      </c>
      <c r="AL146" s="440">
        <v>38000</v>
      </c>
      <c r="AM146" s="447">
        <v>89352.55</v>
      </c>
      <c r="AN146" s="447">
        <v>62929</v>
      </c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447"/>
      <c r="BL146" s="447">
        <v>51965</v>
      </c>
      <c r="BM146" s="447">
        <v>64583</v>
      </c>
      <c r="BN146" s="447">
        <v>69562</v>
      </c>
      <c r="BO146" s="447">
        <v>0</v>
      </c>
      <c r="BP146" s="447">
        <v>0</v>
      </c>
    </row>
    <row r="147" spans="1:68" x14ac:dyDescent="0.2">
      <c r="A147" s="25"/>
      <c r="B147" s="26"/>
      <c r="C147" s="23" t="s">
        <v>42</v>
      </c>
      <c r="D147" s="23"/>
      <c r="E147" s="381">
        <f t="shared" si="97"/>
        <v>0</v>
      </c>
      <c r="F147" s="381">
        <f t="shared" si="97"/>
        <v>18365</v>
      </c>
      <c r="G147" s="447">
        <v>0</v>
      </c>
      <c r="H147" s="447">
        <v>0</v>
      </c>
      <c r="I147" s="454">
        <v>0</v>
      </c>
      <c r="J147" s="454">
        <v>0</v>
      </c>
      <c r="K147" s="447">
        <v>0</v>
      </c>
      <c r="L147" s="447">
        <v>0</v>
      </c>
      <c r="M147" s="447">
        <v>0</v>
      </c>
      <c r="N147" s="456">
        <v>18365</v>
      </c>
      <c r="O147" s="447"/>
      <c r="P147" s="447"/>
      <c r="Q147" s="447"/>
      <c r="R147" s="447">
        <v>0</v>
      </c>
      <c r="S147" s="447"/>
      <c r="T147" s="447"/>
      <c r="U147" s="447"/>
      <c r="V147" s="447"/>
      <c r="W147" s="447">
        <v>0</v>
      </c>
      <c r="X147" s="447">
        <v>0</v>
      </c>
      <c r="Y147" s="447"/>
      <c r="Z147" s="447"/>
      <c r="AA147" s="440">
        <v>0</v>
      </c>
      <c r="AB147" s="440">
        <v>0</v>
      </c>
      <c r="AC147" s="447"/>
      <c r="AD147" s="447"/>
      <c r="AE147" s="447">
        <v>0</v>
      </c>
      <c r="AF147" s="447">
        <v>0</v>
      </c>
      <c r="AG147" s="447">
        <v>0</v>
      </c>
      <c r="AH147" s="447">
        <v>0</v>
      </c>
      <c r="AI147" s="447">
        <v>0</v>
      </c>
      <c r="AJ147" s="447">
        <v>0</v>
      </c>
      <c r="AK147" s="440">
        <v>0</v>
      </c>
      <c r="AL147" s="440">
        <v>0</v>
      </c>
      <c r="AM147" s="447"/>
      <c r="AN147" s="447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447"/>
      <c r="BL147" s="447"/>
      <c r="BM147" s="447">
        <v>0</v>
      </c>
      <c r="BN147" s="447">
        <v>0</v>
      </c>
      <c r="BO147" s="447">
        <v>0</v>
      </c>
      <c r="BP147" s="447">
        <v>0</v>
      </c>
    </row>
    <row r="148" spans="1:68" x14ac:dyDescent="0.2">
      <c r="A148" s="25"/>
      <c r="B148" s="26"/>
      <c r="C148" s="23" t="s">
        <v>43</v>
      </c>
      <c r="D148" s="23"/>
      <c r="E148" s="381">
        <f t="shared" si="97"/>
        <v>211100.09</v>
      </c>
      <c r="F148" s="381">
        <f t="shared" si="97"/>
        <v>206085</v>
      </c>
      <c r="G148" s="447">
        <v>8345</v>
      </c>
      <c r="H148" s="447">
        <v>8000</v>
      </c>
      <c r="I148" s="454">
        <v>5345</v>
      </c>
      <c r="J148" s="454">
        <v>2420</v>
      </c>
      <c r="K148" s="447">
        <v>15272</v>
      </c>
      <c r="L148" s="447">
        <v>15000</v>
      </c>
      <c r="M148" s="447">
        <v>25272</v>
      </c>
      <c r="N148" s="456">
        <v>38000</v>
      </c>
      <c r="O148" s="447">
        <v>5345</v>
      </c>
      <c r="P148" s="447">
        <v>2603</v>
      </c>
      <c r="Q148" s="447">
        <v>15272</v>
      </c>
      <c r="R148" s="447">
        <v>15000</v>
      </c>
      <c r="S148" s="447">
        <v>25000</v>
      </c>
      <c r="T148" s="447">
        <v>25000</v>
      </c>
      <c r="U148" s="447">
        <v>5800</v>
      </c>
      <c r="V148" s="447">
        <v>7000</v>
      </c>
      <c r="W148" s="447">
        <v>6540</v>
      </c>
      <c r="X148" s="447">
        <v>7031</v>
      </c>
      <c r="Y148" s="447"/>
      <c r="Z148" s="447">
        <v>5628</v>
      </c>
      <c r="AA148" s="440">
        <v>0</v>
      </c>
      <c r="AB148" s="440">
        <v>3722</v>
      </c>
      <c r="AC148" s="447">
        <v>35272</v>
      </c>
      <c r="AD148" s="447">
        <v>2949</v>
      </c>
      <c r="AE148" s="447">
        <v>25272</v>
      </c>
      <c r="AF148" s="447">
        <v>35241</v>
      </c>
      <c r="AG148" s="447">
        <v>0</v>
      </c>
      <c r="AH148" s="447">
        <v>5569</v>
      </c>
      <c r="AI148" s="447">
        <v>18194.09</v>
      </c>
      <c r="AJ148" s="447">
        <v>7700</v>
      </c>
      <c r="AK148" s="440">
        <v>15272</v>
      </c>
      <c r="AL148" s="440">
        <v>15000</v>
      </c>
      <c r="AM148" s="447"/>
      <c r="AN148" s="447">
        <v>3670</v>
      </c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447"/>
      <c r="BL148" s="447">
        <v>1552</v>
      </c>
      <c r="BM148" s="447">
        <v>4899</v>
      </c>
      <c r="BN148" s="447">
        <v>5000</v>
      </c>
      <c r="BO148" s="447">
        <v>0</v>
      </c>
      <c r="BP148" s="447">
        <v>0</v>
      </c>
    </row>
    <row r="149" spans="1:68" s="2" customFormat="1" x14ac:dyDescent="0.2">
      <c r="A149" s="156"/>
      <c r="B149" s="159">
        <v>2.6</v>
      </c>
      <c r="C149" s="161" t="s">
        <v>44</v>
      </c>
      <c r="D149" s="161"/>
      <c r="E149" s="158">
        <f>SUM(E150:E153)</f>
        <v>2884686</v>
      </c>
      <c r="F149" s="158">
        <f>SUM(F150:F153)</f>
        <v>3000780</v>
      </c>
      <c r="G149" s="158">
        <f>SUM(G150:G153)</f>
        <v>210000</v>
      </c>
      <c r="H149" s="158">
        <f>SUM(H150:H153)</f>
        <v>210000</v>
      </c>
      <c r="I149" s="158">
        <f>SUM(I150:I153)</f>
        <v>155475</v>
      </c>
      <c r="J149" s="158">
        <f t="shared" ref="J149:Z149" si="98">SUM(J150:J153)</f>
        <v>150000</v>
      </c>
      <c r="K149" s="158">
        <f t="shared" si="98"/>
        <v>152880</v>
      </c>
      <c r="L149" s="158">
        <f t="shared" si="98"/>
        <v>150000</v>
      </c>
      <c r="M149" s="158">
        <f t="shared" si="98"/>
        <v>153660</v>
      </c>
      <c r="N149" s="158">
        <f t="shared" si="98"/>
        <v>150000</v>
      </c>
      <c r="O149" s="158">
        <f t="shared" si="98"/>
        <v>89800</v>
      </c>
      <c r="P149" s="158">
        <f t="shared" si="98"/>
        <v>85000</v>
      </c>
      <c r="Q149" s="158">
        <f t="shared" si="98"/>
        <v>181200</v>
      </c>
      <c r="R149" s="158">
        <f t="shared" si="98"/>
        <v>181200</v>
      </c>
      <c r="S149" s="158">
        <f t="shared" si="98"/>
        <v>109400</v>
      </c>
      <c r="T149" s="158">
        <f t="shared" si="98"/>
        <v>110000</v>
      </c>
      <c r="U149" s="158">
        <f t="shared" si="98"/>
        <v>162100</v>
      </c>
      <c r="V149" s="158">
        <f t="shared" si="98"/>
        <v>212100</v>
      </c>
      <c r="W149" s="158">
        <f t="shared" si="98"/>
        <v>196840</v>
      </c>
      <c r="X149" s="158">
        <f t="shared" si="98"/>
        <v>200000</v>
      </c>
      <c r="Y149" s="158">
        <f t="shared" si="98"/>
        <v>121435</v>
      </c>
      <c r="Z149" s="158">
        <f t="shared" si="98"/>
        <v>120000</v>
      </c>
      <c r="AA149" s="158">
        <f t="shared" ref="AA149:BN149" si="99">SUM(AA150:AA153)</f>
        <v>65000</v>
      </c>
      <c r="AB149" s="158">
        <f t="shared" si="99"/>
        <v>65000</v>
      </c>
      <c r="AC149" s="158">
        <f t="shared" si="99"/>
        <v>100000</v>
      </c>
      <c r="AD149" s="158">
        <f t="shared" si="99"/>
        <v>150000</v>
      </c>
      <c r="AE149" s="158">
        <f t="shared" si="99"/>
        <v>130000</v>
      </c>
      <c r="AF149" s="158">
        <f t="shared" si="99"/>
        <v>130000</v>
      </c>
      <c r="AG149" s="158">
        <f t="shared" si="99"/>
        <v>136000</v>
      </c>
      <c r="AH149" s="158">
        <f t="shared" si="99"/>
        <v>113980</v>
      </c>
      <c r="AI149" s="158">
        <f t="shared" si="99"/>
        <v>252396</v>
      </c>
      <c r="AJ149" s="158">
        <f t="shared" si="99"/>
        <v>300000</v>
      </c>
      <c r="AK149" s="158">
        <f t="shared" si="99"/>
        <v>155500</v>
      </c>
      <c r="AL149" s="158">
        <f t="shared" si="99"/>
        <v>155500</v>
      </c>
      <c r="AM149" s="158">
        <f t="shared" si="99"/>
        <v>288000</v>
      </c>
      <c r="AN149" s="158">
        <f t="shared" si="99"/>
        <v>288000</v>
      </c>
      <c r="AO149" s="158">
        <f t="shared" si="99"/>
        <v>0</v>
      </c>
      <c r="AP149" s="158">
        <f t="shared" si="99"/>
        <v>0</v>
      </c>
      <c r="AQ149" s="158">
        <f t="shared" si="99"/>
        <v>0</v>
      </c>
      <c r="AR149" s="158">
        <f t="shared" si="99"/>
        <v>0</v>
      </c>
      <c r="AS149" s="158">
        <f t="shared" si="99"/>
        <v>0</v>
      </c>
      <c r="AT149" s="158">
        <f t="shared" si="99"/>
        <v>0</v>
      </c>
      <c r="AU149" s="158">
        <f t="shared" si="99"/>
        <v>0</v>
      </c>
      <c r="AV149" s="158">
        <f t="shared" si="99"/>
        <v>0</v>
      </c>
      <c r="AW149" s="158">
        <f t="shared" si="99"/>
        <v>0</v>
      </c>
      <c r="AX149" s="158">
        <f t="shared" si="99"/>
        <v>0</v>
      </c>
      <c r="AY149" s="158">
        <f t="shared" si="99"/>
        <v>0</v>
      </c>
      <c r="AZ149" s="158">
        <f t="shared" si="99"/>
        <v>0</v>
      </c>
      <c r="BA149" s="158">
        <f t="shared" si="99"/>
        <v>0</v>
      </c>
      <c r="BB149" s="158">
        <f t="shared" si="99"/>
        <v>0</v>
      </c>
      <c r="BC149" s="158">
        <f t="shared" si="99"/>
        <v>0</v>
      </c>
      <c r="BD149" s="158">
        <f t="shared" si="99"/>
        <v>0</v>
      </c>
      <c r="BE149" s="158">
        <f t="shared" si="99"/>
        <v>0</v>
      </c>
      <c r="BF149" s="158">
        <f t="shared" si="99"/>
        <v>0</v>
      </c>
      <c r="BG149" s="158">
        <f t="shared" si="99"/>
        <v>0</v>
      </c>
      <c r="BH149" s="158">
        <f t="shared" si="99"/>
        <v>0</v>
      </c>
      <c r="BI149" s="158">
        <f t="shared" si="99"/>
        <v>0</v>
      </c>
      <c r="BJ149" s="158">
        <f t="shared" si="99"/>
        <v>0</v>
      </c>
      <c r="BK149" s="158">
        <f t="shared" si="99"/>
        <v>0</v>
      </c>
      <c r="BL149" s="158">
        <f t="shared" si="99"/>
        <v>0</v>
      </c>
      <c r="BM149" s="158">
        <f t="shared" si="99"/>
        <v>125000</v>
      </c>
      <c r="BN149" s="158">
        <f t="shared" si="99"/>
        <v>130000</v>
      </c>
      <c r="BO149" s="158">
        <f>SUM(BO150:BO153)</f>
        <v>100000</v>
      </c>
      <c r="BP149" s="158">
        <f>SUM(BP150:BP153)</f>
        <v>100000</v>
      </c>
    </row>
    <row r="150" spans="1:68" x14ac:dyDescent="0.2">
      <c r="A150" s="25"/>
      <c r="B150" s="26"/>
      <c r="C150" s="23" t="s">
        <v>45</v>
      </c>
      <c r="D150" s="23"/>
      <c r="E150" s="381">
        <f t="shared" ref="E150:F153" si="100">SUMIF($G$2:$BP$2,E$2,($G150:$BP150))</f>
        <v>2734686</v>
      </c>
      <c r="F150" s="381">
        <f t="shared" si="100"/>
        <v>2850780</v>
      </c>
      <c r="G150" s="448">
        <f>G28</f>
        <v>210000</v>
      </c>
      <c r="H150" s="448">
        <f t="shared" ref="H150" si="101">H28</f>
        <v>210000</v>
      </c>
      <c r="I150" s="226">
        <f t="shared" ref="I150:Z150" si="102">I28</f>
        <v>155475</v>
      </c>
      <c r="J150" s="226">
        <f t="shared" si="102"/>
        <v>150000</v>
      </c>
      <c r="K150" s="226">
        <f t="shared" si="102"/>
        <v>152880</v>
      </c>
      <c r="L150" s="226">
        <f t="shared" si="102"/>
        <v>150000</v>
      </c>
      <c r="M150" s="226">
        <f>M28</f>
        <v>153660</v>
      </c>
      <c r="N150" s="226">
        <f t="shared" si="102"/>
        <v>150000</v>
      </c>
      <c r="O150" s="226">
        <f t="shared" si="102"/>
        <v>89800</v>
      </c>
      <c r="P150" s="226">
        <f t="shared" si="102"/>
        <v>85000</v>
      </c>
      <c r="Q150" s="226">
        <f t="shared" si="102"/>
        <v>181200</v>
      </c>
      <c r="R150" s="226">
        <f t="shared" si="102"/>
        <v>181200</v>
      </c>
      <c r="S150" s="226">
        <f t="shared" si="102"/>
        <v>109400</v>
      </c>
      <c r="T150" s="226">
        <f t="shared" si="102"/>
        <v>110000</v>
      </c>
      <c r="U150" s="226">
        <f t="shared" si="102"/>
        <v>162100</v>
      </c>
      <c r="V150" s="226">
        <f t="shared" si="102"/>
        <v>162100</v>
      </c>
      <c r="W150" s="226">
        <f t="shared" si="102"/>
        <v>196840</v>
      </c>
      <c r="X150" s="226">
        <f t="shared" si="102"/>
        <v>200000</v>
      </c>
      <c r="Y150" s="226">
        <f t="shared" si="102"/>
        <v>121435</v>
      </c>
      <c r="Z150" s="226">
        <f t="shared" si="102"/>
        <v>120000</v>
      </c>
      <c r="AA150" s="226">
        <f t="shared" ref="AA150:BN150" si="103">AA28</f>
        <v>65000</v>
      </c>
      <c r="AB150" s="226">
        <f t="shared" si="103"/>
        <v>65000</v>
      </c>
      <c r="AC150" s="226">
        <f t="shared" si="103"/>
        <v>50000</v>
      </c>
      <c r="AD150" s="226">
        <f t="shared" si="103"/>
        <v>150000</v>
      </c>
      <c r="AE150" s="226">
        <f t="shared" si="103"/>
        <v>130000</v>
      </c>
      <c r="AF150" s="226">
        <f t="shared" si="103"/>
        <v>130000</v>
      </c>
      <c r="AG150" s="226">
        <f t="shared" si="103"/>
        <v>136000</v>
      </c>
      <c r="AH150" s="226">
        <f t="shared" si="103"/>
        <v>113980</v>
      </c>
      <c r="AI150" s="226">
        <f t="shared" si="103"/>
        <v>252396</v>
      </c>
      <c r="AJ150" s="226">
        <f t="shared" si="103"/>
        <v>300000</v>
      </c>
      <c r="AK150" s="226">
        <f t="shared" si="103"/>
        <v>155500</v>
      </c>
      <c r="AL150" s="226">
        <f t="shared" si="103"/>
        <v>155500</v>
      </c>
      <c r="AM150" s="226">
        <f t="shared" si="103"/>
        <v>288000</v>
      </c>
      <c r="AN150" s="226">
        <f t="shared" si="103"/>
        <v>288000</v>
      </c>
      <c r="AO150" s="226">
        <f t="shared" si="103"/>
        <v>0</v>
      </c>
      <c r="AP150" s="226">
        <f t="shared" si="103"/>
        <v>0</v>
      </c>
      <c r="AQ150" s="226">
        <f t="shared" si="103"/>
        <v>0</v>
      </c>
      <c r="AR150" s="226">
        <f t="shared" si="103"/>
        <v>0</v>
      </c>
      <c r="AS150" s="226">
        <f t="shared" si="103"/>
        <v>0</v>
      </c>
      <c r="AT150" s="226">
        <f t="shared" si="103"/>
        <v>0</v>
      </c>
      <c r="AU150" s="226">
        <f t="shared" si="103"/>
        <v>0</v>
      </c>
      <c r="AV150" s="226">
        <f t="shared" si="103"/>
        <v>0</v>
      </c>
      <c r="AW150" s="226">
        <f t="shared" si="103"/>
        <v>0</v>
      </c>
      <c r="AX150" s="226">
        <f t="shared" si="103"/>
        <v>0</v>
      </c>
      <c r="AY150" s="226">
        <f t="shared" si="103"/>
        <v>0</v>
      </c>
      <c r="AZ150" s="226">
        <f t="shared" si="103"/>
        <v>0</v>
      </c>
      <c r="BA150" s="226">
        <f t="shared" si="103"/>
        <v>0</v>
      </c>
      <c r="BB150" s="226">
        <f t="shared" si="103"/>
        <v>0</v>
      </c>
      <c r="BC150" s="226">
        <f t="shared" si="103"/>
        <v>0</v>
      </c>
      <c r="BD150" s="226">
        <f t="shared" si="103"/>
        <v>0</v>
      </c>
      <c r="BE150" s="226">
        <f t="shared" si="103"/>
        <v>0</v>
      </c>
      <c r="BF150" s="226">
        <f t="shared" si="103"/>
        <v>0</v>
      </c>
      <c r="BG150" s="226">
        <f t="shared" si="103"/>
        <v>0</v>
      </c>
      <c r="BH150" s="226">
        <f t="shared" si="103"/>
        <v>0</v>
      </c>
      <c r="BI150" s="226">
        <f t="shared" si="103"/>
        <v>0</v>
      </c>
      <c r="BJ150" s="226">
        <f t="shared" si="103"/>
        <v>0</v>
      </c>
      <c r="BK150" s="226">
        <f t="shared" si="103"/>
        <v>0</v>
      </c>
      <c r="BL150" s="226">
        <f t="shared" si="103"/>
        <v>0</v>
      </c>
      <c r="BM150" s="226">
        <f t="shared" si="103"/>
        <v>125000</v>
      </c>
      <c r="BN150" s="226">
        <f t="shared" si="103"/>
        <v>130000</v>
      </c>
      <c r="BO150" s="226">
        <f>BO28</f>
        <v>0</v>
      </c>
      <c r="BP150" s="226">
        <f>BP28</f>
        <v>0</v>
      </c>
    </row>
    <row r="151" spans="1:68" x14ac:dyDescent="0.2">
      <c r="A151" s="25"/>
      <c r="B151" s="26"/>
      <c r="C151" s="23" t="s">
        <v>1219</v>
      </c>
      <c r="D151" s="23"/>
      <c r="E151" s="381">
        <f t="shared" si="100"/>
        <v>100000</v>
      </c>
      <c r="F151" s="381">
        <f t="shared" si="100"/>
        <v>100000</v>
      </c>
      <c r="G151" s="447">
        <v>0</v>
      </c>
      <c r="H151" s="447">
        <v>0</v>
      </c>
      <c r="I151" s="447">
        <v>0</v>
      </c>
      <c r="J151" s="447">
        <v>0</v>
      </c>
      <c r="K151" s="6"/>
      <c r="L151" s="6"/>
      <c r="M151" s="447">
        <v>0</v>
      </c>
      <c r="N151" s="447">
        <v>0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447">
        <v>100000</v>
      </c>
      <c r="BP151" s="447">
        <v>100000</v>
      </c>
    </row>
    <row r="152" spans="1:68" x14ac:dyDescent="0.2">
      <c r="A152" s="25"/>
      <c r="B152" s="26"/>
      <c r="C152" s="23" t="s">
        <v>1220</v>
      </c>
      <c r="D152" s="23"/>
      <c r="E152" s="381">
        <f t="shared" si="100"/>
        <v>50000</v>
      </c>
      <c r="F152" s="381">
        <f t="shared" si="100"/>
        <v>50000</v>
      </c>
      <c r="G152" s="447">
        <v>0</v>
      </c>
      <c r="H152" s="447">
        <v>0</v>
      </c>
      <c r="I152" s="447">
        <v>0</v>
      </c>
      <c r="J152" s="447">
        <v>0</v>
      </c>
      <c r="K152" s="6"/>
      <c r="L152" s="6"/>
      <c r="M152" s="447">
        <v>0</v>
      </c>
      <c r="N152" s="447">
        <v>0</v>
      </c>
      <c r="O152" s="6"/>
      <c r="P152" s="6"/>
      <c r="Q152" s="6"/>
      <c r="R152" s="6"/>
      <c r="S152" s="6"/>
      <c r="T152" s="6"/>
      <c r="U152" s="6"/>
      <c r="V152" s="6">
        <v>50000</v>
      </c>
      <c r="W152" s="6"/>
      <c r="X152" s="6"/>
      <c r="Y152" s="6"/>
      <c r="Z152" s="6"/>
      <c r="AA152" s="6"/>
      <c r="AB152" s="6"/>
      <c r="AC152" s="447">
        <v>50000</v>
      </c>
      <c r="AD152" s="6">
        <v>0</v>
      </c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447">
        <v>0</v>
      </c>
      <c r="BP152" s="447">
        <v>0</v>
      </c>
    </row>
    <row r="153" spans="1:68" s="2" customFormat="1" x14ac:dyDescent="0.2">
      <c r="A153" s="25"/>
      <c r="B153" s="26"/>
      <c r="C153" s="23" t="s">
        <v>1221</v>
      </c>
      <c r="D153" s="23"/>
      <c r="E153" s="381">
        <f t="shared" si="100"/>
        <v>0</v>
      </c>
      <c r="F153" s="381">
        <f t="shared" si="100"/>
        <v>0</v>
      </c>
      <c r="G153" s="447">
        <v>0</v>
      </c>
      <c r="H153" s="447">
        <v>0</v>
      </c>
      <c r="I153" s="447">
        <v>0</v>
      </c>
      <c r="J153" s="447">
        <v>0</v>
      </c>
      <c r="K153" s="6"/>
      <c r="L153" s="6"/>
      <c r="M153" s="447">
        <v>0</v>
      </c>
      <c r="N153" s="447">
        <v>0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447">
        <v>0</v>
      </c>
      <c r="BP153" s="447">
        <v>0</v>
      </c>
    </row>
    <row r="154" spans="1:68" s="2" customFormat="1" x14ac:dyDescent="0.2">
      <c r="A154" s="156"/>
      <c r="B154" s="159">
        <v>2.7</v>
      </c>
      <c r="C154" s="160" t="s">
        <v>78</v>
      </c>
      <c r="D154" s="161"/>
      <c r="E154" s="158">
        <f>SUM(E155:E157)</f>
        <v>0</v>
      </c>
      <c r="F154" s="158">
        <f>SUM(F155:F157)</f>
        <v>0</v>
      </c>
      <c r="G154" s="158">
        <f>SUM(G155:G157)</f>
        <v>0</v>
      </c>
      <c r="H154" s="158">
        <f>SUM(H155:H157)</f>
        <v>0</v>
      </c>
      <c r="I154" s="158">
        <f t="shared" ref="I154:Z154" si="104">SUM(I155:I157)</f>
        <v>0</v>
      </c>
      <c r="J154" s="158">
        <f t="shared" si="104"/>
        <v>0</v>
      </c>
      <c r="K154" s="158">
        <f t="shared" si="104"/>
        <v>0</v>
      </c>
      <c r="L154" s="158">
        <f t="shared" si="104"/>
        <v>0</v>
      </c>
      <c r="M154" s="158">
        <f t="shared" si="104"/>
        <v>0</v>
      </c>
      <c r="N154" s="158">
        <f t="shared" si="104"/>
        <v>0</v>
      </c>
      <c r="O154" s="158">
        <f t="shared" si="104"/>
        <v>0</v>
      </c>
      <c r="P154" s="158">
        <f t="shared" si="104"/>
        <v>0</v>
      </c>
      <c r="Q154" s="158">
        <f t="shared" si="104"/>
        <v>0</v>
      </c>
      <c r="R154" s="158">
        <f t="shared" si="104"/>
        <v>0</v>
      </c>
      <c r="S154" s="158">
        <f t="shared" si="104"/>
        <v>0</v>
      </c>
      <c r="T154" s="158">
        <f t="shared" si="104"/>
        <v>0</v>
      </c>
      <c r="U154" s="158">
        <f t="shared" si="104"/>
        <v>0</v>
      </c>
      <c r="V154" s="158">
        <f t="shared" si="104"/>
        <v>0</v>
      </c>
      <c r="W154" s="158">
        <f t="shared" si="104"/>
        <v>0</v>
      </c>
      <c r="X154" s="158">
        <f t="shared" si="104"/>
        <v>0</v>
      </c>
      <c r="Y154" s="158">
        <f t="shared" si="104"/>
        <v>0</v>
      </c>
      <c r="Z154" s="158">
        <f t="shared" si="104"/>
        <v>0</v>
      </c>
      <c r="AA154" s="158">
        <f t="shared" ref="AA154:BN154" si="105">SUM(AA155:AA157)</f>
        <v>0</v>
      </c>
      <c r="AB154" s="158">
        <f t="shared" si="105"/>
        <v>0</v>
      </c>
      <c r="AC154" s="158">
        <f t="shared" si="105"/>
        <v>0</v>
      </c>
      <c r="AD154" s="158">
        <f t="shared" si="105"/>
        <v>0</v>
      </c>
      <c r="AE154" s="158">
        <f t="shared" si="105"/>
        <v>0</v>
      </c>
      <c r="AF154" s="158">
        <f t="shared" si="105"/>
        <v>0</v>
      </c>
      <c r="AG154" s="158">
        <f t="shared" si="105"/>
        <v>0</v>
      </c>
      <c r="AH154" s="158">
        <f t="shared" si="105"/>
        <v>0</v>
      </c>
      <c r="AI154" s="158">
        <f t="shared" si="105"/>
        <v>0</v>
      </c>
      <c r="AJ154" s="158">
        <f t="shared" si="105"/>
        <v>0</v>
      </c>
      <c r="AK154" s="158">
        <f t="shared" si="105"/>
        <v>0</v>
      </c>
      <c r="AL154" s="158">
        <f t="shared" si="105"/>
        <v>0</v>
      </c>
      <c r="AM154" s="158">
        <f t="shared" si="105"/>
        <v>0</v>
      </c>
      <c r="AN154" s="158">
        <f t="shared" si="105"/>
        <v>0</v>
      </c>
      <c r="AO154" s="158">
        <f t="shared" si="105"/>
        <v>0</v>
      </c>
      <c r="AP154" s="158">
        <f t="shared" si="105"/>
        <v>0</v>
      </c>
      <c r="AQ154" s="158">
        <f t="shared" si="105"/>
        <v>0</v>
      </c>
      <c r="AR154" s="158">
        <f t="shared" si="105"/>
        <v>0</v>
      </c>
      <c r="AS154" s="158">
        <f t="shared" si="105"/>
        <v>0</v>
      </c>
      <c r="AT154" s="158">
        <f t="shared" si="105"/>
        <v>0</v>
      </c>
      <c r="AU154" s="158">
        <f t="shared" si="105"/>
        <v>0</v>
      </c>
      <c r="AV154" s="158">
        <f t="shared" si="105"/>
        <v>0</v>
      </c>
      <c r="AW154" s="158">
        <f t="shared" si="105"/>
        <v>0</v>
      </c>
      <c r="AX154" s="158">
        <f t="shared" si="105"/>
        <v>0</v>
      </c>
      <c r="AY154" s="158">
        <f t="shared" si="105"/>
        <v>0</v>
      </c>
      <c r="AZ154" s="158">
        <f t="shared" si="105"/>
        <v>0</v>
      </c>
      <c r="BA154" s="158">
        <f t="shared" si="105"/>
        <v>0</v>
      </c>
      <c r="BB154" s="158">
        <f t="shared" si="105"/>
        <v>0</v>
      </c>
      <c r="BC154" s="158">
        <f t="shared" si="105"/>
        <v>0</v>
      </c>
      <c r="BD154" s="158">
        <f t="shared" si="105"/>
        <v>0</v>
      </c>
      <c r="BE154" s="158">
        <f t="shared" si="105"/>
        <v>0</v>
      </c>
      <c r="BF154" s="158">
        <f t="shared" si="105"/>
        <v>0</v>
      </c>
      <c r="BG154" s="158">
        <f t="shared" si="105"/>
        <v>0</v>
      </c>
      <c r="BH154" s="158">
        <f t="shared" si="105"/>
        <v>0</v>
      </c>
      <c r="BI154" s="158">
        <f t="shared" si="105"/>
        <v>0</v>
      </c>
      <c r="BJ154" s="158">
        <f t="shared" si="105"/>
        <v>0</v>
      </c>
      <c r="BK154" s="158">
        <f t="shared" si="105"/>
        <v>0</v>
      </c>
      <c r="BL154" s="158">
        <f t="shared" si="105"/>
        <v>0</v>
      </c>
      <c r="BM154" s="158">
        <f t="shared" si="105"/>
        <v>0</v>
      </c>
      <c r="BN154" s="158">
        <f t="shared" si="105"/>
        <v>0</v>
      </c>
      <c r="BO154" s="158">
        <f>SUM(BO155:BO157)</f>
        <v>0</v>
      </c>
      <c r="BP154" s="158">
        <f>SUM(BP155:BP157)</f>
        <v>0</v>
      </c>
    </row>
    <row r="155" spans="1:68" s="2" customFormat="1" x14ac:dyDescent="0.2">
      <c r="A155" s="10"/>
      <c r="B155" s="21"/>
      <c r="C155" s="22" t="s">
        <v>1225</v>
      </c>
      <c r="D155" s="23"/>
      <c r="E155" s="381">
        <f>SUMIF($G$2:$BP$2,E$2,($G155:$BP155))</f>
        <v>0</v>
      </c>
      <c r="F155" s="381">
        <f>SUMIF($G$2:$BP$2,F$2,($G155:$BP155))</f>
        <v>0</v>
      </c>
      <c r="G155" s="224">
        <v>0</v>
      </c>
      <c r="H155" s="224">
        <v>0</v>
      </c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208"/>
      <c r="BD155" s="208"/>
      <c r="BE155" s="208"/>
      <c r="BF155" s="208"/>
      <c r="BG155" s="208"/>
      <c r="BH155" s="208"/>
      <c r="BI155" s="208"/>
      <c r="BJ155" s="208"/>
      <c r="BK155" s="208"/>
      <c r="BL155" s="208"/>
      <c r="BM155" s="208"/>
      <c r="BN155" s="208"/>
      <c r="BO155" s="447">
        <v>0</v>
      </c>
      <c r="BP155" s="447">
        <v>0</v>
      </c>
    </row>
    <row r="156" spans="1:68" x14ac:dyDescent="0.2">
      <c r="A156" s="24"/>
      <c r="B156" s="21"/>
      <c r="C156" s="22" t="s">
        <v>1226</v>
      </c>
      <c r="D156" s="23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  <c r="AP156" s="362"/>
      <c r="AQ156" s="362"/>
      <c r="AR156" s="362"/>
      <c r="AS156" s="362"/>
      <c r="AT156" s="362"/>
      <c r="AU156" s="362"/>
      <c r="AV156" s="362"/>
      <c r="AW156" s="362"/>
      <c r="AX156" s="362"/>
      <c r="AY156" s="362"/>
      <c r="AZ156" s="362"/>
      <c r="BA156" s="362"/>
      <c r="BB156" s="362"/>
      <c r="BC156" s="362"/>
      <c r="BD156" s="362"/>
      <c r="BE156" s="362"/>
      <c r="BF156" s="362"/>
      <c r="BG156" s="362"/>
      <c r="BH156" s="362"/>
      <c r="BI156" s="362"/>
      <c r="BJ156" s="362"/>
      <c r="BK156" s="362"/>
      <c r="BL156" s="362"/>
      <c r="BM156" s="362"/>
      <c r="BN156" s="362"/>
      <c r="BO156" s="362"/>
      <c r="BP156" s="362"/>
    </row>
    <row r="157" spans="1:68" s="2" customFormat="1" x14ac:dyDescent="0.2">
      <c r="A157" s="24"/>
      <c r="B157" s="21"/>
      <c r="C157" s="22" t="s">
        <v>1227</v>
      </c>
      <c r="D157" s="23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362"/>
      <c r="AP157" s="362"/>
      <c r="AQ157" s="362"/>
      <c r="AR157" s="362"/>
      <c r="AS157" s="362"/>
      <c r="AT157" s="362"/>
      <c r="AU157" s="362"/>
      <c r="AV157" s="362"/>
      <c r="AW157" s="362"/>
      <c r="AX157" s="362"/>
      <c r="AY157" s="362"/>
      <c r="AZ157" s="362"/>
      <c r="BA157" s="362"/>
      <c r="BB157" s="362"/>
      <c r="BC157" s="362"/>
      <c r="BD157" s="362"/>
      <c r="BE157" s="362"/>
      <c r="BF157" s="362"/>
      <c r="BG157" s="362"/>
      <c r="BH157" s="362"/>
      <c r="BI157" s="362"/>
      <c r="BJ157" s="362"/>
      <c r="BK157" s="362"/>
      <c r="BL157" s="362"/>
      <c r="BM157" s="362"/>
      <c r="BN157" s="362"/>
      <c r="BO157" s="362"/>
      <c r="BP157" s="362"/>
    </row>
    <row r="158" spans="1:68" s="2" customFormat="1" x14ac:dyDescent="0.2">
      <c r="A158" s="156"/>
      <c r="B158" s="159">
        <v>2.8</v>
      </c>
      <c r="C158" s="160" t="s">
        <v>49</v>
      </c>
      <c r="D158" s="161"/>
      <c r="E158" s="158">
        <f>SUM(E159:E160)</f>
        <v>0</v>
      </c>
      <c r="F158" s="158">
        <f>SUM(F159:F160)</f>
        <v>0</v>
      </c>
      <c r="G158" s="158">
        <f>SUM(G159:G160)</f>
        <v>0</v>
      </c>
      <c r="H158" s="158">
        <f>SUM(H159:H160)</f>
        <v>0</v>
      </c>
      <c r="I158" s="158">
        <f t="shared" ref="I158:Z158" si="106">SUM(I159:I160)</f>
        <v>0</v>
      </c>
      <c r="J158" s="158">
        <f t="shared" si="106"/>
        <v>0</v>
      </c>
      <c r="K158" s="158">
        <f t="shared" si="106"/>
        <v>0</v>
      </c>
      <c r="L158" s="158">
        <f t="shared" si="106"/>
        <v>0</v>
      </c>
      <c r="M158" s="158">
        <f t="shared" si="106"/>
        <v>0</v>
      </c>
      <c r="N158" s="158">
        <f t="shared" si="106"/>
        <v>0</v>
      </c>
      <c r="O158" s="158">
        <f t="shared" si="106"/>
        <v>0</v>
      </c>
      <c r="P158" s="158">
        <f t="shared" si="106"/>
        <v>0</v>
      </c>
      <c r="Q158" s="158">
        <f t="shared" si="106"/>
        <v>0</v>
      </c>
      <c r="R158" s="158">
        <f t="shared" si="106"/>
        <v>0</v>
      </c>
      <c r="S158" s="158">
        <f t="shared" si="106"/>
        <v>0</v>
      </c>
      <c r="T158" s="158">
        <f t="shared" si="106"/>
        <v>0</v>
      </c>
      <c r="U158" s="158">
        <f t="shared" si="106"/>
        <v>0</v>
      </c>
      <c r="V158" s="158">
        <f t="shared" si="106"/>
        <v>0</v>
      </c>
      <c r="W158" s="158">
        <f t="shared" si="106"/>
        <v>0</v>
      </c>
      <c r="X158" s="158">
        <f t="shared" si="106"/>
        <v>0</v>
      </c>
      <c r="Y158" s="158">
        <f t="shared" si="106"/>
        <v>0</v>
      </c>
      <c r="Z158" s="158">
        <f t="shared" si="106"/>
        <v>0</v>
      </c>
      <c r="AA158" s="158">
        <f t="shared" ref="AA158:BN158" si="107">SUM(AA159:AA160)</f>
        <v>0</v>
      </c>
      <c r="AB158" s="158">
        <f t="shared" si="107"/>
        <v>0</v>
      </c>
      <c r="AC158" s="158">
        <f t="shared" si="107"/>
        <v>0</v>
      </c>
      <c r="AD158" s="158">
        <f t="shared" si="107"/>
        <v>0</v>
      </c>
      <c r="AE158" s="158">
        <f t="shared" si="107"/>
        <v>0</v>
      </c>
      <c r="AF158" s="158">
        <f t="shared" si="107"/>
        <v>0</v>
      </c>
      <c r="AG158" s="158">
        <f t="shared" si="107"/>
        <v>0</v>
      </c>
      <c r="AH158" s="158">
        <f t="shared" si="107"/>
        <v>0</v>
      </c>
      <c r="AI158" s="158">
        <f t="shared" si="107"/>
        <v>0</v>
      </c>
      <c r="AJ158" s="158">
        <f t="shared" si="107"/>
        <v>0</v>
      </c>
      <c r="AK158" s="158">
        <f t="shared" si="107"/>
        <v>0</v>
      </c>
      <c r="AL158" s="158">
        <f t="shared" si="107"/>
        <v>0</v>
      </c>
      <c r="AM158" s="158">
        <f t="shared" si="107"/>
        <v>0</v>
      </c>
      <c r="AN158" s="158">
        <f t="shared" si="107"/>
        <v>0</v>
      </c>
      <c r="AO158" s="158">
        <f t="shared" si="107"/>
        <v>0</v>
      </c>
      <c r="AP158" s="158">
        <f t="shared" si="107"/>
        <v>0</v>
      </c>
      <c r="AQ158" s="158">
        <f t="shared" si="107"/>
        <v>0</v>
      </c>
      <c r="AR158" s="158">
        <f t="shared" si="107"/>
        <v>0</v>
      </c>
      <c r="AS158" s="158">
        <f t="shared" si="107"/>
        <v>0</v>
      </c>
      <c r="AT158" s="158">
        <f t="shared" si="107"/>
        <v>0</v>
      </c>
      <c r="AU158" s="158">
        <f t="shared" si="107"/>
        <v>0</v>
      </c>
      <c r="AV158" s="158">
        <f t="shared" si="107"/>
        <v>0</v>
      </c>
      <c r="AW158" s="158">
        <f t="shared" si="107"/>
        <v>0</v>
      </c>
      <c r="AX158" s="158">
        <f t="shared" si="107"/>
        <v>0</v>
      </c>
      <c r="AY158" s="158">
        <f t="shared" si="107"/>
        <v>0</v>
      </c>
      <c r="AZ158" s="158">
        <f t="shared" si="107"/>
        <v>0</v>
      </c>
      <c r="BA158" s="158">
        <f t="shared" si="107"/>
        <v>0</v>
      </c>
      <c r="BB158" s="158">
        <f t="shared" si="107"/>
        <v>0</v>
      </c>
      <c r="BC158" s="158">
        <f t="shared" si="107"/>
        <v>0</v>
      </c>
      <c r="BD158" s="158">
        <f t="shared" si="107"/>
        <v>0</v>
      </c>
      <c r="BE158" s="158">
        <f t="shared" si="107"/>
        <v>0</v>
      </c>
      <c r="BF158" s="158">
        <f t="shared" si="107"/>
        <v>0</v>
      </c>
      <c r="BG158" s="158">
        <f t="shared" si="107"/>
        <v>0</v>
      </c>
      <c r="BH158" s="158">
        <f t="shared" si="107"/>
        <v>0</v>
      </c>
      <c r="BI158" s="158">
        <f t="shared" si="107"/>
        <v>0</v>
      </c>
      <c r="BJ158" s="158">
        <f t="shared" si="107"/>
        <v>0</v>
      </c>
      <c r="BK158" s="158">
        <f t="shared" si="107"/>
        <v>0</v>
      </c>
      <c r="BL158" s="158">
        <f t="shared" si="107"/>
        <v>0</v>
      </c>
      <c r="BM158" s="158">
        <f t="shared" si="107"/>
        <v>0</v>
      </c>
      <c r="BN158" s="158">
        <f t="shared" si="107"/>
        <v>0</v>
      </c>
      <c r="BO158" s="158">
        <f>SUM(BO159:BO160)</f>
        <v>0</v>
      </c>
      <c r="BP158" s="158">
        <f>SUM(BP159:BP160)</f>
        <v>0</v>
      </c>
    </row>
    <row r="159" spans="1:68" x14ac:dyDescent="0.2">
      <c r="A159" s="213"/>
      <c r="B159" s="214"/>
      <c r="C159" s="215" t="s">
        <v>1228</v>
      </c>
      <c r="D159" s="215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362"/>
      <c r="AP159" s="362"/>
      <c r="AQ159" s="362"/>
      <c r="AR159" s="362"/>
      <c r="AS159" s="362"/>
      <c r="AT159" s="362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2"/>
      <c r="BG159" s="362"/>
      <c r="BH159" s="362"/>
      <c r="BI159" s="362"/>
      <c r="BJ159" s="362"/>
      <c r="BK159" s="362"/>
      <c r="BL159" s="362"/>
      <c r="BM159" s="362"/>
      <c r="BN159" s="362"/>
      <c r="BO159" s="362"/>
      <c r="BP159" s="362"/>
    </row>
    <row r="160" spans="1:68" x14ac:dyDescent="0.2">
      <c r="A160" s="25"/>
      <c r="B160" s="26"/>
      <c r="C160" s="23" t="s">
        <v>49</v>
      </c>
      <c r="D160" s="23"/>
      <c r="E160" s="381">
        <f>SUMIF($G$2:$BP$2,E$2,($G160:$BP160))</f>
        <v>0</v>
      </c>
      <c r="F160" s="381">
        <f>SUMIF($G$2:$BP$2,F$2,($G160:$BP160))</f>
        <v>0</v>
      </c>
      <c r="G160" s="6">
        <v>0</v>
      </c>
      <c r="H160" s="6">
        <v>0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447">
        <v>0</v>
      </c>
      <c r="BP160" s="447">
        <v>0</v>
      </c>
    </row>
    <row r="161" spans="1:68" x14ac:dyDescent="0.2">
      <c r="A161" s="149">
        <v>3</v>
      </c>
      <c r="B161" s="162" t="s">
        <v>103</v>
      </c>
      <c r="C161" s="143"/>
      <c r="D161" s="143"/>
      <c r="E161" s="155">
        <f>SUM(E162:E164)</f>
        <v>2640591.735656647</v>
      </c>
      <c r="F161" s="155">
        <f>SUM(F162:F164)</f>
        <v>2534179.9513132935</v>
      </c>
      <c r="G161" s="155">
        <f>SUM(G162:G164)</f>
        <v>124427.79999999999</v>
      </c>
      <c r="H161" s="155">
        <f>SUM(H162:H164)</f>
        <v>107768.4</v>
      </c>
      <c r="I161" s="155">
        <f t="shared" ref="I161:Z161" si="108">SUM(I162:I164)</f>
        <v>130304.6</v>
      </c>
      <c r="J161" s="155">
        <f t="shared" si="108"/>
        <v>130304.6</v>
      </c>
      <c r="K161" s="155">
        <f t="shared" si="108"/>
        <v>145184</v>
      </c>
      <c r="L161" s="155">
        <f t="shared" si="108"/>
        <v>145184</v>
      </c>
      <c r="M161" s="155">
        <f t="shared" si="108"/>
        <v>154776</v>
      </c>
      <c r="N161" s="155">
        <f t="shared" si="108"/>
        <v>154776</v>
      </c>
      <c r="O161" s="155">
        <f t="shared" si="108"/>
        <v>236484</v>
      </c>
      <c r="P161" s="155">
        <f t="shared" si="108"/>
        <v>236484</v>
      </c>
      <c r="Q161" s="155">
        <f t="shared" si="108"/>
        <v>114657</v>
      </c>
      <c r="R161" s="155">
        <f t="shared" si="108"/>
        <v>114657</v>
      </c>
      <c r="S161" s="155">
        <f t="shared" si="108"/>
        <v>86634.355656646861</v>
      </c>
      <c r="T161" s="155">
        <f t="shared" si="108"/>
        <v>86781.831313293704</v>
      </c>
      <c r="U161" s="155">
        <f t="shared" si="108"/>
        <v>52262</v>
      </c>
      <c r="V161" s="155">
        <f t="shared" si="108"/>
        <v>52262</v>
      </c>
      <c r="W161" s="155">
        <f t="shared" si="108"/>
        <v>155889</v>
      </c>
      <c r="X161" s="155">
        <f t="shared" si="108"/>
        <v>155889</v>
      </c>
      <c r="Y161" s="155">
        <f t="shared" si="108"/>
        <v>113184</v>
      </c>
      <c r="Z161" s="155">
        <f t="shared" si="108"/>
        <v>113184</v>
      </c>
      <c r="AA161" s="155">
        <f t="shared" ref="AA161:BN161" si="109">SUM(AA162:AA164)</f>
        <v>123277</v>
      </c>
      <c r="AB161" s="155">
        <f t="shared" si="109"/>
        <v>123277</v>
      </c>
      <c r="AC161" s="155">
        <f t="shared" si="109"/>
        <v>112235</v>
      </c>
      <c r="AD161" s="155">
        <f t="shared" si="109"/>
        <v>69135</v>
      </c>
      <c r="AE161" s="155">
        <f t="shared" si="109"/>
        <v>68421</v>
      </c>
      <c r="AF161" s="155">
        <f t="shared" si="109"/>
        <v>68421</v>
      </c>
      <c r="AG161" s="155">
        <f t="shared" si="109"/>
        <v>88054</v>
      </c>
      <c r="AH161" s="155">
        <f t="shared" si="109"/>
        <v>88054</v>
      </c>
      <c r="AI161" s="155">
        <f t="shared" si="109"/>
        <v>155334.39999999999</v>
      </c>
      <c r="AJ161" s="155">
        <f t="shared" si="109"/>
        <v>165334.39999999999</v>
      </c>
      <c r="AK161" s="155">
        <f t="shared" si="109"/>
        <v>143215.85999999999</v>
      </c>
      <c r="AL161" s="155">
        <f t="shared" si="109"/>
        <v>83215</v>
      </c>
      <c r="AM161" s="155">
        <f t="shared" si="109"/>
        <v>270930.71999999997</v>
      </c>
      <c r="AN161" s="155">
        <f t="shared" si="109"/>
        <v>274131.71999999997</v>
      </c>
      <c r="AO161" s="155">
        <f t="shared" si="109"/>
        <v>0</v>
      </c>
      <c r="AP161" s="155">
        <f t="shared" si="109"/>
        <v>0</v>
      </c>
      <c r="AQ161" s="155">
        <f t="shared" si="109"/>
        <v>0</v>
      </c>
      <c r="AR161" s="155">
        <f t="shared" si="109"/>
        <v>0</v>
      </c>
      <c r="AS161" s="155">
        <f t="shared" si="109"/>
        <v>0</v>
      </c>
      <c r="AT161" s="155">
        <f t="shared" si="109"/>
        <v>0</v>
      </c>
      <c r="AU161" s="155">
        <f t="shared" si="109"/>
        <v>0</v>
      </c>
      <c r="AV161" s="155">
        <f t="shared" si="109"/>
        <v>0</v>
      </c>
      <c r="AW161" s="155">
        <f t="shared" si="109"/>
        <v>0</v>
      </c>
      <c r="AX161" s="155">
        <f t="shared" si="109"/>
        <v>0</v>
      </c>
      <c r="AY161" s="155">
        <f t="shared" si="109"/>
        <v>0</v>
      </c>
      <c r="AZ161" s="155">
        <f t="shared" si="109"/>
        <v>0</v>
      </c>
      <c r="BA161" s="155">
        <f t="shared" si="109"/>
        <v>0</v>
      </c>
      <c r="BB161" s="155">
        <f t="shared" si="109"/>
        <v>0</v>
      </c>
      <c r="BC161" s="155">
        <f t="shared" si="109"/>
        <v>0</v>
      </c>
      <c r="BD161" s="155">
        <f t="shared" si="109"/>
        <v>0</v>
      </c>
      <c r="BE161" s="155">
        <f t="shared" si="109"/>
        <v>0</v>
      </c>
      <c r="BF161" s="155">
        <f t="shared" si="109"/>
        <v>0</v>
      </c>
      <c r="BG161" s="155">
        <f t="shared" si="109"/>
        <v>0</v>
      </c>
      <c r="BH161" s="155">
        <f t="shared" si="109"/>
        <v>0</v>
      </c>
      <c r="BI161" s="155">
        <f t="shared" si="109"/>
        <v>0</v>
      </c>
      <c r="BJ161" s="155">
        <f t="shared" si="109"/>
        <v>0</v>
      </c>
      <c r="BK161" s="155">
        <f t="shared" si="109"/>
        <v>0</v>
      </c>
      <c r="BL161" s="155">
        <f t="shared" si="109"/>
        <v>0</v>
      </c>
      <c r="BM161" s="155">
        <f t="shared" si="109"/>
        <v>271071</v>
      </c>
      <c r="BN161" s="155">
        <f t="shared" si="109"/>
        <v>271071</v>
      </c>
      <c r="BO161" s="155">
        <f>SUM(BO162:BO164)</f>
        <v>94250</v>
      </c>
      <c r="BP161" s="155">
        <f>SUM(BP162:BP164)</f>
        <v>94250</v>
      </c>
    </row>
    <row r="162" spans="1:68" x14ac:dyDescent="0.2">
      <c r="A162" s="172"/>
      <c r="B162" s="173"/>
      <c r="C162" s="173" t="s">
        <v>841</v>
      </c>
      <c r="D162" s="173"/>
      <c r="E162" s="381">
        <f t="shared" ref="E162:F165" si="110">SUMIF($G$2:$BP$2,E$2,($G162:$BP162))</f>
        <v>1140145.5854827883</v>
      </c>
      <c r="F162" s="381">
        <f t="shared" si="110"/>
        <v>1066289.6109655763</v>
      </c>
      <c r="G162" s="447">
        <v>35400.04</v>
      </c>
      <c r="H162" s="449">
        <v>34400.04</v>
      </c>
      <c r="I162" s="447">
        <v>19326</v>
      </c>
      <c r="J162" s="447">
        <v>19326</v>
      </c>
      <c r="K162" s="447">
        <v>73340</v>
      </c>
      <c r="L162" s="447">
        <v>73340</v>
      </c>
      <c r="M162" s="447">
        <v>57478</v>
      </c>
      <c r="N162" s="447">
        <v>57478</v>
      </c>
      <c r="O162" s="447">
        <v>109729</v>
      </c>
      <c r="P162" s="447">
        <v>109729</v>
      </c>
      <c r="Q162" s="447">
        <v>68003</v>
      </c>
      <c r="R162" s="447">
        <v>68003</v>
      </c>
      <c r="S162" s="447">
        <v>46293.0254827881</v>
      </c>
      <c r="T162" s="447">
        <v>46336.250965576197</v>
      </c>
      <c r="U162" s="447">
        <v>5819</v>
      </c>
      <c r="V162" s="447">
        <v>5819</v>
      </c>
      <c r="W162" s="447">
        <v>44188</v>
      </c>
      <c r="X162" s="447">
        <v>44188</v>
      </c>
      <c r="Y162" s="447">
        <v>60475</v>
      </c>
      <c r="Z162" s="447">
        <v>60475</v>
      </c>
      <c r="AA162" s="447">
        <v>52072</v>
      </c>
      <c r="AB162" s="447">
        <v>52072</v>
      </c>
      <c r="AC162" s="447">
        <v>66874</v>
      </c>
      <c r="AD162" s="447">
        <v>23774</v>
      </c>
      <c r="AE162" s="447">
        <v>41774</v>
      </c>
      <c r="AF162" s="447">
        <v>41774</v>
      </c>
      <c r="AG162" s="447">
        <v>54214</v>
      </c>
      <c r="AH162" s="447">
        <v>54214</v>
      </c>
      <c r="AI162" s="447">
        <v>35555.4</v>
      </c>
      <c r="AJ162" s="447">
        <v>35555.4</v>
      </c>
      <c r="AK162" s="440">
        <v>65833.2</v>
      </c>
      <c r="AL162" s="440">
        <v>35833</v>
      </c>
      <c r="AM162" s="447">
        <v>34999.919999999998</v>
      </c>
      <c r="AN162" s="447">
        <v>35200.92</v>
      </c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447">
        <v>238947</v>
      </c>
      <c r="BN162" s="447">
        <v>238947</v>
      </c>
      <c r="BO162" s="447">
        <v>29825</v>
      </c>
      <c r="BP162" s="447">
        <v>29825</v>
      </c>
    </row>
    <row r="163" spans="1:68" x14ac:dyDescent="0.2">
      <c r="A163" s="33"/>
      <c r="B163" s="34"/>
      <c r="C163" s="34" t="s">
        <v>842</v>
      </c>
      <c r="D163" s="34"/>
      <c r="E163" s="381">
        <f t="shared" si="110"/>
        <v>1500446.1501738587</v>
      </c>
      <c r="F163" s="381">
        <f t="shared" si="110"/>
        <v>1467890.3403477175</v>
      </c>
      <c r="G163" s="447">
        <v>89027.76</v>
      </c>
      <c r="H163" s="449">
        <v>73368.36</v>
      </c>
      <c r="I163" s="447">
        <v>110978.6</v>
      </c>
      <c r="J163" s="447">
        <v>110978.6</v>
      </c>
      <c r="K163" s="447">
        <v>71844</v>
      </c>
      <c r="L163" s="447">
        <v>71844</v>
      </c>
      <c r="M163" s="447">
        <v>97298</v>
      </c>
      <c r="N163" s="447">
        <v>97298</v>
      </c>
      <c r="O163" s="447">
        <v>126755</v>
      </c>
      <c r="P163" s="447">
        <v>126755</v>
      </c>
      <c r="Q163" s="447">
        <v>46654</v>
      </c>
      <c r="R163" s="447">
        <v>46654</v>
      </c>
      <c r="S163" s="447">
        <v>40341.330173858754</v>
      </c>
      <c r="T163" s="447">
        <v>40445.580347717507</v>
      </c>
      <c r="U163" s="447">
        <v>46443</v>
      </c>
      <c r="V163" s="447">
        <v>46443</v>
      </c>
      <c r="W163" s="447">
        <v>111701</v>
      </c>
      <c r="X163" s="447">
        <v>111701</v>
      </c>
      <c r="Y163" s="447">
        <v>52709</v>
      </c>
      <c r="Z163" s="447">
        <v>52709</v>
      </c>
      <c r="AA163" s="447">
        <v>71205</v>
      </c>
      <c r="AB163" s="447">
        <v>71205</v>
      </c>
      <c r="AC163" s="447">
        <v>45361</v>
      </c>
      <c r="AD163" s="447">
        <v>45361</v>
      </c>
      <c r="AE163" s="447">
        <v>26647</v>
      </c>
      <c r="AF163" s="447">
        <v>26647</v>
      </c>
      <c r="AG163" s="447">
        <v>33840</v>
      </c>
      <c r="AH163" s="447">
        <v>33840</v>
      </c>
      <c r="AI163" s="447">
        <v>119779</v>
      </c>
      <c r="AJ163" s="447">
        <v>129779</v>
      </c>
      <c r="AK163" s="440">
        <v>77382.66</v>
      </c>
      <c r="AL163" s="440">
        <v>47382</v>
      </c>
      <c r="AM163" s="447">
        <v>235930.8</v>
      </c>
      <c r="AN163" s="447">
        <v>238930.8</v>
      </c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447">
        <v>32124</v>
      </c>
      <c r="BN163" s="447">
        <v>32124</v>
      </c>
      <c r="BO163" s="447">
        <v>64425</v>
      </c>
      <c r="BP163" s="447">
        <v>64425</v>
      </c>
    </row>
    <row r="164" spans="1:68" s="2" customFormat="1" x14ac:dyDescent="0.2">
      <c r="A164" s="33"/>
      <c r="B164" s="34"/>
      <c r="C164" s="34" t="s">
        <v>843</v>
      </c>
      <c r="D164" s="34"/>
      <c r="E164" s="381">
        <f t="shared" si="110"/>
        <v>0</v>
      </c>
      <c r="F164" s="381">
        <f t="shared" si="110"/>
        <v>0</v>
      </c>
      <c r="G164" s="449">
        <v>0</v>
      </c>
      <c r="H164" s="449">
        <v>0</v>
      </c>
      <c r="I164" s="447">
        <v>0</v>
      </c>
      <c r="J164" s="447">
        <v>0</v>
      </c>
      <c r="K164" s="6"/>
      <c r="L164" s="6"/>
      <c r="M164" s="6"/>
      <c r="N164" s="217"/>
      <c r="O164" s="6"/>
      <c r="P164" s="217"/>
      <c r="Q164" s="6"/>
      <c r="R164" s="6"/>
      <c r="S164" s="447">
        <v>0</v>
      </c>
      <c r="T164" s="447">
        <v>0</v>
      </c>
      <c r="U164" s="447"/>
      <c r="V164" s="447"/>
      <c r="W164" s="447">
        <v>0</v>
      </c>
      <c r="X164" s="447">
        <v>0</v>
      </c>
      <c r="Y164" s="447"/>
      <c r="Z164" s="447"/>
      <c r="AA164" s="6"/>
      <c r="AB164" s="6"/>
      <c r="AC164" s="6"/>
      <c r="AD164" s="6"/>
      <c r="AE164" s="6"/>
      <c r="AF164" s="6"/>
      <c r="AG164" s="447"/>
      <c r="AH164" s="447"/>
      <c r="AI164" s="447">
        <v>0</v>
      </c>
      <c r="AJ164" s="447">
        <v>0</v>
      </c>
      <c r="AK164" s="440">
        <v>0</v>
      </c>
      <c r="AL164" s="440">
        <v>0</v>
      </c>
      <c r="AM164" s="447"/>
      <c r="AN164" s="447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217"/>
      <c r="BO164" s="447"/>
      <c r="BP164" s="447"/>
    </row>
    <row r="165" spans="1:68" x14ac:dyDescent="0.2">
      <c r="A165" s="163">
        <v>4</v>
      </c>
      <c r="B165" s="164" t="s">
        <v>844</v>
      </c>
      <c r="C165" s="164"/>
      <c r="D165" s="164"/>
      <c r="E165" s="155">
        <f t="shared" si="110"/>
        <v>0</v>
      </c>
      <c r="F165" s="155">
        <f t="shared" si="110"/>
        <v>0</v>
      </c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5"/>
      <c r="BC165" s="155"/>
      <c r="BD165" s="155"/>
      <c r="BE165" s="155"/>
      <c r="BF165" s="155"/>
      <c r="BG165" s="155"/>
      <c r="BH165" s="155"/>
      <c r="BI165" s="155"/>
      <c r="BJ165" s="155"/>
      <c r="BK165" s="155"/>
      <c r="BL165" s="155"/>
      <c r="BM165" s="155"/>
      <c r="BN165" s="155"/>
      <c r="BO165" s="155"/>
      <c r="BP165" s="155"/>
    </row>
    <row r="166" spans="1:68" x14ac:dyDescent="0.2">
      <c r="A166" s="196"/>
      <c r="B166" s="197"/>
      <c r="C166" s="198"/>
      <c r="D166" s="199" t="s">
        <v>77</v>
      </c>
      <c r="E166" s="200">
        <f t="shared" ref="E166:J166" si="111">SUM(E113,E91,E161,E165)</f>
        <v>75817375.939256638</v>
      </c>
      <c r="F166" s="200">
        <f t="shared" si="111"/>
        <v>76826271.431313276</v>
      </c>
      <c r="G166" s="200">
        <f t="shared" si="111"/>
        <v>4563759.8329999996</v>
      </c>
      <c r="H166" s="200">
        <f t="shared" si="111"/>
        <v>4719300.5600000005</v>
      </c>
      <c r="I166" s="200">
        <f t="shared" si="111"/>
        <v>2579989.0904000001</v>
      </c>
      <c r="J166" s="200">
        <f t="shared" si="111"/>
        <v>2735031.7600000002</v>
      </c>
      <c r="K166" s="200">
        <f t="shared" ref="K166:Z166" si="112">SUM(K113,K91,K161,K165)</f>
        <v>3127511.2697999999</v>
      </c>
      <c r="L166" s="200">
        <f t="shared" si="112"/>
        <v>3229871.4</v>
      </c>
      <c r="M166" s="200">
        <f t="shared" si="112"/>
        <v>4985246.0600000005</v>
      </c>
      <c r="N166" s="200">
        <f>SUM(N113,N91,N161,N165)</f>
        <v>5252672.5600000005</v>
      </c>
      <c r="O166" s="200">
        <f t="shared" ref="O166:R166" si="113">SUM(O113,O91,O161,O165)</f>
        <v>3157856</v>
      </c>
      <c r="P166" s="200">
        <f t="shared" si="113"/>
        <v>3207803.8</v>
      </c>
      <c r="Q166" s="200">
        <f t="shared" si="113"/>
        <v>4530777.3900000006</v>
      </c>
      <c r="R166" s="200">
        <f t="shared" si="113"/>
        <v>4269093.4800000004</v>
      </c>
      <c r="S166" s="200">
        <f t="shared" si="112"/>
        <v>4266535.1976566473</v>
      </c>
      <c r="T166" s="200">
        <f t="shared" si="112"/>
        <v>4167459.2313132938</v>
      </c>
      <c r="U166" s="200">
        <f t="shared" si="112"/>
        <v>4054788.9699999997</v>
      </c>
      <c r="V166" s="200">
        <f t="shared" si="112"/>
        <v>4186079.12</v>
      </c>
      <c r="W166" s="200">
        <f t="shared" si="112"/>
        <v>3033605.41</v>
      </c>
      <c r="X166" s="200">
        <f t="shared" si="112"/>
        <v>2942357.16</v>
      </c>
      <c r="Y166" s="200">
        <f t="shared" si="112"/>
        <v>2942889.14</v>
      </c>
      <c r="Z166" s="200">
        <f t="shared" si="112"/>
        <v>2959654.52</v>
      </c>
      <c r="AA166" s="200">
        <f t="shared" ref="AA166:BL166" si="114">SUM(AA113,AA91,AA161,AA165)</f>
        <v>2959055</v>
      </c>
      <c r="AB166" s="200">
        <f t="shared" si="114"/>
        <v>2626487.2400000002</v>
      </c>
      <c r="AC166" s="200">
        <f t="shared" si="114"/>
        <v>4610456</v>
      </c>
      <c r="AD166" s="200">
        <f t="shared" si="114"/>
        <v>4784648.96</v>
      </c>
      <c r="AE166" s="200">
        <f t="shared" si="114"/>
        <v>3989556</v>
      </c>
      <c r="AF166" s="200">
        <f t="shared" si="114"/>
        <v>3702510.3200000003</v>
      </c>
      <c r="AG166" s="200">
        <f t="shared" si="114"/>
        <v>3220460.35</v>
      </c>
      <c r="AH166" s="200">
        <f t="shared" si="114"/>
        <v>2970495.2</v>
      </c>
      <c r="AI166" s="200">
        <f t="shared" si="114"/>
        <v>5425083.0388000002</v>
      </c>
      <c r="AJ166" s="200">
        <f t="shared" si="114"/>
        <v>5999689.6400000006</v>
      </c>
      <c r="AK166" s="200">
        <f t="shared" si="114"/>
        <v>2854213.6096000001</v>
      </c>
      <c r="AL166" s="200">
        <f t="shared" si="114"/>
        <v>2844569.48</v>
      </c>
      <c r="AM166" s="200">
        <f t="shared" si="114"/>
        <v>3550165.87</v>
      </c>
      <c r="AN166" s="200">
        <f t="shared" si="114"/>
        <v>3614700.96</v>
      </c>
      <c r="AO166" s="200">
        <f t="shared" si="114"/>
        <v>0</v>
      </c>
      <c r="AP166" s="200">
        <f t="shared" si="114"/>
        <v>0</v>
      </c>
      <c r="AQ166" s="200">
        <f t="shared" si="114"/>
        <v>0</v>
      </c>
      <c r="AR166" s="200">
        <f t="shared" si="114"/>
        <v>0</v>
      </c>
      <c r="AS166" s="200">
        <f t="shared" si="114"/>
        <v>0</v>
      </c>
      <c r="AT166" s="200">
        <f t="shared" si="114"/>
        <v>0</v>
      </c>
      <c r="AU166" s="200">
        <f t="shared" si="114"/>
        <v>0</v>
      </c>
      <c r="AV166" s="200">
        <f t="shared" si="114"/>
        <v>0</v>
      </c>
      <c r="AW166" s="200">
        <f t="shared" si="114"/>
        <v>0</v>
      </c>
      <c r="AX166" s="200">
        <f t="shared" si="114"/>
        <v>0</v>
      </c>
      <c r="AY166" s="200">
        <f t="shared" si="114"/>
        <v>0</v>
      </c>
      <c r="AZ166" s="200">
        <f t="shared" si="114"/>
        <v>0</v>
      </c>
      <c r="BA166" s="200">
        <f t="shared" si="114"/>
        <v>0</v>
      </c>
      <c r="BB166" s="200">
        <f t="shared" si="114"/>
        <v>0</v>
      </c>
      <c r="BC166" s="200">
        <f t="shared" si="114"/>
        <v>0</v>
      </c>
      <c r="BD166" s="200">
        <f t="shared" si="114"/>
        <v>0</v>
      </c>
      <c r="BE166" s="200">
        <f t="shared" si="114"/>
        <v>0</v>
      </c>
      <c r="BF166" s="200">
        <f t="shared" si="114"/>
        <v>0</v>
      </c>
      <c r="BG166" s="200">
        <f t="shared" si="114"/>
        <v>0</v>
      </c>
      <c r="BH166" s="200">
        <f t="shared" si="114"/>
        <v>0</v>
      </c>
      <c r="BI166" s="200">
        <f t="shared" si="114"/>
        <v>0</v>
      </c>
      <c r="BJ166" s="200">
        <f t="shared" si="114"/>
        <v>0</v>
      </c>
      <c r="BK166" s="200">
        <f t="shared" si="114"/>
        <v>0</v>
      </c>
      <c r="BL166" s="200">
        <f t="shared" si="114"/>
        <v>578836</v>
      </c>
      <c r="BM166" s="200">
        <f t="shared" ref="BM166:BN166" si="115">SUM(BM113,BM91,BM161,BM165)</f>
        <v>4682303.13</v>
      </c>
      <c r="BN166" s="200">
        <f t="shared" si="115"/>
        <v>4487348.04</v>
      </c>
      <c r="BO166" s="200">
        <f>SUM(BO113,BO91,BO161,BO165)</f>
        <v>7283124.5800000001</v>
      </c>
      <c r="BP166" s="200">
        <f>SUM(BP113,BP91,BP161,BP165)</f>
        <v>7547662</v>
      </c>
    </row>
    <row r="167" spans="1:68" x14ac:dyDescent="0.2">
      <c r="A167" s="301"/>
      <c r="B167" s="303" t="s">
        <v>1236</v>
      </c>
      <c r="C167" s="302"/>
      <c r="D167" s="303"/>
      <c r="E167" s="304">
        <f t="shared" ref="E167:AJ167" si="116">E89-E166</f>
        <v>-6325623.2290011495</v>
      </c>
      <c r="F167" s="304">
        <f t="shared" si="116"/>
        <v>-47314.096724256873</v>
      </c>
      <c r="G167" s="304">
        <f t="shared" si="116"/>
        <v>-56953.189790599979</v>
      </c>
      <c r="H167" s="304">
        <f t="shared" si="116"/>
        <v>40038.639999999665</v>
      </c>
      <c r="I167" s="304">
        <f t="shared" si="116"/>
        <v>-154818.0904000001</v>
      </c>
      <c r="J167" s="304">
        <f t="shared" si="116"/>
        <v>40894.439999999944</v>
      </c>
      <c r="K167" s="304">
        <f t="shared" si="116"/>
        <v>-184610.26979999989</v>
      </c>
      <c r="L167" s="304">
        <f t="shared" si="116"/>
        <v>-9014.1999999997206</v>
      </c>
      <c r="M167" s="304">
        <f t="shared" si="116"/>
        <v>-263319.06000000052</v>
      </c>
      <c r="N167" s="304">
        <f t="shared" si="116"/>
        <v>117131.23999999929</v>
      </c>
      <c r="O167" s="304">
        <f t="shared" si="116"/>
        <v>-527736.49754292518</v>
      </c>
      <c r="P167" s="304">
        <f t="shared" ref="P167" si="117">P89-P166</f>
        <v>-179367.39999999991</v>
      </c>
      <c r="Q167" s="304">
        <f t="shared" si="116"/>
        <v>-640716.3900000006</v>
      </c>
      <c r="R167" s="304">
        <f t="shared" si="116"/>
        <v>-35440.280000000261</v>
      </c>
      <c r="S167" s="304">
        <f t="shared" si="116"/>
        <v>-557980.1976566473</v>
      </c>
      <c r="T167" s="304">
        <f t="shared" si="116"/>
        <v>-1559.8313132938929</v>
      </c>
      <c r="U167" s="304">
        <f t="shared" si="116"/>
        <v>-151671.13999999966</v>
      </c>
      <c r="V167" s="304">
        <f t="shared" si="116"/>
        <v>29509.479999999516</v>
      </c>
      <c r="W167" s="304">
        <f t="shared" si="116"/>
        <v>-256246.41000000015</v>
      </c>
      <c r="X167" s="304">
        <f t="shared" si="116"/>
        <v>46249.239999999758</v>
      </c>
      <c r="Y167" s="304">
        <f t="shared" si="116"/>
        <v>-208571.14000000013</v>
      </c>
      <c r="Z167" s="304">
        <f t="shared" si="116"/>
        <v>-37776.720000000205</v>
      </c>
      <c r="AA167" s="304">
        <f t="shared" si="116"/>
        <v>-838242</v>
      </c>
      <c r="AB167" s="304">
        <f t="shared" si="116"/>
        <v>-82857.040000000037</v>
      </c>
      <c r="AC167" s="304">
        <f t="shared" si="116"/>
        <v>-42035</v>
      </c>
      <c r="AD167" s="304">
        <f t="shared" si="116"/>
        <v>59187.240000000224</v>
      </c>
      <c r="AE167" s="304">
        <f t="shared" si="116"/>
        <v>-610987</v>
      </c>
      <c r="AF167" s="304">
        <f t="shared" si="116"/>
        <v>27160.279999999795</v>
      </c>
      <c r="AG167" s="304">
        <f t="shared" si="116"/>
        <v>-462182.14000000013</v>
      </c>
      <c r="AH167" s="304">
        <f t="shared" si="116"/>
        <v>-5678.4000000003725</v>
      </c>
      <c r="AI167" s="304">
        <f t="shared" si="116"/>
        <v>-91488.448800000362</v>
      </c>
      <c r="AJ167" s="304">
        <f t="shared" si="116"/>
        <v>-71259.040000000969</v>
      </c>
      <c r="AK167" s="304">
        <f t="shared" ref="AK167:BL167" si="118">AK89-AK166</f>
        <v>-148844.67501098569</v>
      </c>
      <c r="AL167" s="304">
        <f t="shared" si="118"/>
        <v>-32449.545410985593</v>
      </c>
      <c r="AM167" s="304">
        <f t="shared" si="118"/>
        <v>-280776.87000000011</v>
      </c>
      <c r="AN167" s="304">
        <f t="shared" si="118"/>
        <v>-185162.95999999996</v>
      </c>
      <c r="AO167" s="304">
        <f t="shared" si="118"/>
        <v>0</v>
      </c>
      <c r="AP167" s="304">
        <f t="shared" si="118"/>
        <v>0</v>
      </c>
      <c r="AQ167" s="304">
        <f t="shared" si="118"/>
        <v>0</v>
      </c>
      <c r="AR167" s="304">
        <f t="shared" si="118"/>
        <v>0</v>
      </c>
      <c r="AS167" s="304">
        <f t="shared" si="118"/>
        <v>0</v>
      </c>
      <c r="AT167" s="304">
        <f t="shared" si="118"/>
        <v>0</v>
      </c>
      <c r="AU167" s="304">
        <f t="shared" si="118"/>
        <v>0</v>
      </c>
      <c r="AV167" s="304">
        <f t="shared" si="118"/>
        <v>0</v>
      </c>
      <c r="AW167" s="304">
        <f t="shared" si="118"/>
        <v>0</v>
      </c>
      <c r="AX167" s="304">
        <f t="shared" si="118"/>
        <v>0</v>
      </c>
      <c r="AY167" s="304">
        <f t="shared" si="118"/>
        <v>0</v>
      </c>
      <c r="AZ167" s="304">
        <f t="shared" si="118"/>
        <v>0</v>
      </c>
      <c r="BA167" s="304">
        <f t="shared" si="118"/>
        <v>0</v>
      </c>
      <c r="BB167" s="304">
        <f t="shared" si="118"/>
        <v>0</v>
      </c>
      <c r="BC167" s="304">
        <f t="shared" si="118"/>
        <v>0</v>
      </c>
      <c r="BD167" s="304">
        <f t="shared" si="118"/>
        <v>0</v>
      </c>
      <c r="BE167" s="304">
        <f t="shared" si="118"/>
        <v>0</v>
      </c>
      <c r="BF167" s="304">
        <f t="shared" si="118"/>
        <v>0</v>
      </c>
      <c r="BG167" s="304">
        <f t="shared" si="118"/>
        <v>0</v>
      </c>
      <c r="BH167" s="304">
        <f t="shared" si="118"/>
        <v>0</v>
      </c>
      <c r="BI167" s="304">
        <f t="shared" si="118"/>
        <v>0</v>
      </c>
      <c r="BJ167" s="304">
        <f t="shared" si="118"/>
        <v>0</v>
      </c>
      <c r="BK167" s="304">
        <f t="shared" si="118"/>
        <v>0</v>
      </c>
      <c r="BL167" s="304">
        <f t="shared" si="118"/>
        <v>463500</v>
      </c>
      <c r="BM167" s="304">
        <f>BM89-BM166</f>
        <v>-650918.12999999989</v>
      </c>
      <c r="BN167" s="304">
        <f>BN89-BN166</f>
        <v>-164431.63999999966</v>
      </c>
      <c r="BO167" s="304">
        <f>BO89-BO166</f>
        <v>-197526.58000000007</v>
      </c>
      <c r="BP167" s="304">
        <f>BP89-BP166</f>
        <v>-65987.599999999627</v>
      </c>
    </row>
    <row r="168" spans="1:68" x14ac:dyDescent="0.2">
      <c r="A168" s="298"/>
      <c r="B168" s="303" t="s">
        <v>810</v>
      </c>
      <c r="C168" s="438"/>
      <c r="D168" s="303"/>
      <c r="E168" s="300">
        <f t="shared" ref="E168:AJ168" si="119">(E89-E15-E37)-(E166-E161)</f>
        <v>-5761411.4933445007</v>
      </c>
      <c r="F168" s="300">
        <f t="shared" si="119"/>
        <v>563115.85458903015</v>
      </c>
      <c r="G168" s="300">
        <f>(G89-G15-G37)-(G166-G161)</f>
        <v>-182525.38979060017</v>
      </c>
      <c r="H168" s="300">
        <f t="shared" si="119"/>
        <v>18807.040000000037</v>
      </c>
      <c r="I168" s="300">
        <f>(I89-I15-I37)-(I166-I161)</f>
        <v>-163513.49040000001</v>
      </c>
      <c r="J168" s="300">
        <f>(J89-J15-J37)-(J166-J161)</f>
        <v>2449.0400000000373</v>
      </c>
      <c r="K168" s="300">
        <f t="shared" si="119"/>
        <v>-138426.26979999989</v>
      </c>
      <c r="L168" s="300">
        <f t="shared" si="119"/>
        <v>4169.8000000002794</v>
      </c>
      <c r="M168" s="300">
        <f t="shared" si="119"/>
        <v>-175543.06000000052</v>
      </c>
      <c r="N168" s="300">
        <f t="shared" si="119"/>
        <v>73407.239999999292</v>
      </c>
      <c r="O168" s="300">
        <f t="shared" si="119"/>
        <v>-357752.49754292518</v>
      </c>
      <c r="P168" s="300">
        <f t="shared" ref="P168" si="120">(P89-P15-P37)-(P166-P161)</f>
        <v>116.60000000009313</v>
      </c>
      <c r="Q168" s="300">
        <f t="shared" si="119"/>
        <v>-676059.3900000006</v>
      </c>
      <c r="R168" s="300">
        <f t="shared" si="119"/>
        <v>-31783.280000000261</v>
      </c>
      <c r="S168" s="300">
        <f t="shared" si="119"/>
        <v>-551345.84200000064</v>
      </c>
      <c r="T168" s="300">
        <f t="shared" si="119"/>
        <v>222</v>
      </c>
      <c r="U168" s="300">
        <f t="shared" si="119"/>
        <v>-249409.13999999966</v>
      </c>
      <c r="V168" s="300">
        <f t="shared" si="119"/>
        <v>-30728.520000000484</v>
      </c>
      <c r="W168" s="300">
        <f t="shared" si="119"/>
        <v>-199057.41000000015</v>
      </c>
      <c r="X168" s="300">
        <f t="shared" si="119"/>
        <v>3638.2399999997579</v>
      </c>
      <c r="Y168" s="300">
        <f t="shared" si="119"/>
        <v>-146387.14000000013</v>
      </c>
      <c r="Z168" s="300">
        <f t="shared" si="119"/>
        <v>1407.2799999997951</v>
      </c>
      <c r="AA168" s="300">
        <f t="shared" si="119"/>
        <v>-820965</v>
      </c>
      <c r="AB168" s="300">
        <f t="shared" si="119"/>
        <v>-31580.040000000037</v>
      </c>
      <c r="AC168" s="300">
        <f t="shared" si="119"/>
        <v>-44700</v>
      </c>
      <c r="AD168" s="300">
        <f t="shared" si="119"/>
        <v>51322.240000000224</v>
      </c>
      <c r="AE168" s="300">
        <f t="shared" si="119"/>
        <v>-642566</v>
      </c>
      <c r="AF168" s="300">
        <f t="shared" si="119"/>
        <v>1581.2799999997951</v>
      </c>
      <c r="AG168" s="300">
        <f t="shared" si="119"/>
        <v>-496728.14000000013</v>
      </c>
      <c r="AH168" s="300">
        <f t="shared" si="119"/>
        <v>-2624.4000000003725</v>
      </c>
      <c r="AI168" s="300">
        <f t="shared" si="119"/>
        <v>-22534.04879999999</v>
      </c>
      <c r="AJ168" s="300">
        <f t="shared" si="119"/>
        <v>94075.359999999404</v>
      </c>
      <c r="AK168" s="300">
        <f t="shared" ref="AK168:BL168" si="121">(AK89-AK15-AK37)-(AK166-AK161)</f>
        <v>-74028.815010985825</v>
      </c>
      <c r="AL168" s="300">
        <f t="shared" si="121"/>
        <v>765.45458901440725</v>
      </c>
      <c r="AM168" s="300">
        <f t="shared" si="121"/>
        <v>-211746.15000000037</v>
      </c>
      <c r="AN168" s="300">
        <f t="shared" si="121"/>
        <v>3968.7599999997765</v>
      </c>
      <c r="AO168" s="300">
        <f t="shared" si="121"/>
        <v>0</v>
      </c>
      <c r="AP168" s="300">
        <f t="shared" si="121"/>
        <v>0</v>
      </c>
      <c r="AQ168" s="300">
        <f t="shared" si="121"/>
        <v>0</v>
      </c>
      <c r="AR168" s="300">
        <f t="shared" si="121"/>
        <v>0</v>
      </c>
      <c r="AS168" s="300">
        <f t="shared" si="121"/>
        <v>0</v>
      </c>
      <c r="AT168" s="300">
        <f t="shared" si="121"/>
        <v>0</v>
      </c>
      <c r="AU168" s="300">
        <f t="shared" si="121"/>
        <v>0</v>
      </c>
      <c r="AV168" s="300">
        <f t="shared" si="121"/>
        <v>0</v>
      </c>
      <c r="AW168" s="300">
        <f t="shared" si="121"/>
        <v>0</v>
      </c>
      <c r="AX168" s="300">
        <f t="shared" si="121"/>
        <v>0</v>
      </c>
      <c r="AY168" s="300">
        <f t="shared" si="121"/>
        <v>0</v>
      </c>
      <c r="AZ168" s="300">
        <f t="shared" si="121"/>
        <v>0</v>
      </c>
      <c r="BA168" s="300">
        <f t="shared" si="121"/>
        <v>0</v>
      </c>
      <c r="BB168" s="300">
        <f t="shared" si="121"/>
        <v>0</v>
      </c>
      <c r="BC168" s="300">
        <f t="shared" si="121"/>
        <v>0</v>
      </c>
      <c r="BD168" s="300">
        <f t="shared" si="121"/>
        <v>0</v>
      </c>
      <c r="BE168" s="300">
        <f t="shared" si="121"/>
        <v>0</v>
      </c>
      <c r="BF168" s="300">
        <f t="shared" si="121"/>
        <v>0</v>
      </c>
      <c r="BG168" s="300">
        <f t="shared" si="121"/>
        <v>0</v>
      </c>
      <c r="BH168" s="300">
        <f t="shared" si="121"/>
        <v>0</v>
      </c>
      <c r="BI168" s="300">
        <f t="shared" si="121"/>
        <v>0</v>
      </c>
      <c r="BJ168" s="300">
        <f t="shared" si="121"/>
        <v>0</v>
      </c>
      <c r="BK168" s="300">
        <f t="shared" si="121"/>
        <v>0</v>
      </c>
      <c r="BL168" s="300">
        <f t="shared" si="121"/>
        <v>363000</v>
      </c>
      <c r="BM168" s="300">
        <f>(BM89-BM15-BM37)-(BM166-BM161)</f>
        <v>-504847.12999999989</v>
      </c>
      <c r="BN168" s="300">
        <f>(BN89-BN15-BN37)-(BN166-BN161)</f>
        <v>12639.360000000335</v>
      </c>
      <c r="BO168" s="300">
        <f>(BO89-BO15-BO37)-(BO166-BO161)</f>
        <v>-103276.58000000007</v>
      </c>
      <c r="BP168" s="300">
        <f>(BP89-BP15-BP37)-(BP166-BP161)</f>
        <v>28262.400000000373</v>
      </c>
    </row>
    <row r="170" spans="1:68" ht="18" x14ac:dyDescent="0.25">
      <c r="A170" s="138"/>
      <c r="B170" s="138"/>
      <c r="C170" s="138"/>
      <c r="D170" s="379"/>
      <c r="E170" s="380"/>
      <c r="F170" s="380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380"/>
      <c r="S170" s="380"/>
      <c r="T170" s="380"/>
      <c r="U170" s="380"/>
      <c r="V170" s="380"/>
      <c r="W170" s="380"/>
      <c r="X170" s="380"/>
      <c r="Y170" s="380"/>
      <c r="Z170" s="380"/>
      <c r="AA170" s="380"/>
      <c r="AB170" s="380"/>
      <c r="AC170" s="380"/>
      <c r="AD170" s="380"/>
      <c r="AE170" s="380"/>
      <c r="AF170" s="380"/>
      <c r="AG170" s="380"/>
      <c r="AH170" s="380"/>
      <c r="AI170" s="380"/>
      <c r="AJ170" s="380"/>
      <c r="AK170" s="380"/>
      <c r="AL170" s="380"/>
      <c r="AM170" s="380"/>
      <c r="AN170" s="380"/>
      <c r="AO170" s="380"/>
      <c r="AP170" s="380"/>
      <c r="AQ170" s="380"/>
      <c r="AR170" s="380"/>
      <c r="AS170" s="380"/>
      <c r="AT170" s="380"/>
      <c r="AU170" s="380"/>
      <c r="AV170" s="380"/>
      <c r="AW170" s="380"/>
      <c r="AX170" s="380"/>
      <c r="AY170" s="380"/>
      <c r="AZ170" s="380"/>
      <c r="BA170" s="380"/>
      <c r="BB170" s="380"/>
      <c r="BC170" s="380"/>
      <c r="BD170" s="380"/>
      <c r="BE170" s="380"/>
      <c r="BF170" s="380"/>
      <c r="BG170" s="380"/>
      <c r="BH170" s="380"/>
      <c r="BI170" s="380"/>
      <c r="BJ170" s="380"/>
      <c r="BK170" s="380"/>
      <c r="BL170" s="380"/>
      <c r="BM170" s="380"/>
      <c r="BN170" s="380"/>
      <c r="BO170" s="380"/>
      <c r="BP170" s="380"/>
    </row>
  </sheetData>
  <sheetProtection selectLockedCells="1"/>
  <mergeCells count="32">
    <mergeCell ref="AG1:AH1"/>
    <mergeCell ref="AI1:AJ1"/>
    <mergeCell ref="AK1:AL1"/>
    <mergeCell ref="AM1:AN1"/>
    <mergeCell ref="AO1:AP1"/>
    <mergeCell ref="BA1:BB1"/>
    <mergeCell ref="AQ1:AR1"/>
    <mergeCell ref="AS1:AT1"/>
    <mergeCell ref="AU1:AV1"/>
    <mergeCell ref="AW1:AX1"/>
    <mergeCell ref="AY1:AZ1"/>
    <mergeCell ref="BO1:BP1"/>
    <mergeCell ref="BC1:BD1"/>
    <mergeCell ref="BE1:BF1"/>
    <mergeCell ref="BG1:BH1"/>
    <mergeCell ref="BI1:BJ1"/>
    <mergeCell ref="BK1:BL1"/>
    <mergeCell ref="BM1:BN1"/>
    <mergeCell ref="B1:D1"/>
    <mergeCell ref="Y1:Z1"/>
    <mergeCell ref="AA1:AB1"/>
    <mergeCell ref="AC1:AD1"/>
    <mergeCell ref="AE1:AF1"/>
    <mergeCell ref="O1:P1"/>
    <mergeCell ref="Q1:R1"/>
    <mergeCell ref="S1:T1"/>
    <mergeCell ref="U1:V1"/>
    <mergeCell ref="G1:H1"/>
    <mergeCell ref="I1:J1"/>
    <mergeCell ref="K1:L1"/>
    <mergeCell ref="M1:N1"/>
    <mergeCell ref="W1:X1"/>
  </mergeCells>
  <phoneticPr fontId="4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6"/>
  <sheetViews>
    <sheetView zoomScale="115" zoomScaleNormal="115" workbookViewId="0">
      <pane xSplit="1" ySplit="6" topLeftCell="B13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4.25" x14ac:dyDescent="0.2"/>
  <cols>
    <col min="1" max="1" width="35.375" customWidth="1"/>
    <col min="2" max="2" width="17.625" customWidth="1"/>
    <col min="3" max="4" width="15.125" bestFit="1" customWidth="1"/>
    <col min="5" max="5" width="16.625" bestFit="1" customWidth="1"/>
    <col min="7" max="9" width="14.125" bestFit="1" customWidth="1"/>
  </cols>
  <sheetData>
    <row r="1" spans="1:4" ht="19.5" x14ac:dyDescent="0.25">
      <c r="A1" s="227" t="s">
        <v>1613</v>
      </c>
    </row>
    <row r="2" spans="1:4" ht="15" x14ac:dyDescent="0.2">
      <c r="A2" s="228" t="s">
        <v>161</v>
      </c>
      <c r="B2" s="229" t="s">
        <v>166</v>
      </c>
      <c r="D2" t="s">
        <v>714</v>
      </c>
    </row>
    <row r="3" spans="1:4" ht="15" x14ac:dyDescent="0.2">
      <c r="A3" s="228" t="s">
        <v>162</v>
      </c>
      <c r="B3" s="236">
        <v>22575426.52</v>
      </c>
    </row>
    <row r="4" spans="1:4" ht="15" x14ac:dyDescent="0.2">
      <c r="A4" s="228" t="s">
        <v>163</v>
      </c>
      <c r="B4" s="236">
        <v>8882368.3000000007</v>
      </c>
    </row>
    <row r="5" spans="1:4" ht="15" x14ac:dyDescent="0.2">
      <c r="A5" s="228" t="s">
        <v>164</v>
      </c>
      <c r="B5" s="236">
        <f>418284.85+4195979.47</f>
        <v>4614264.3199999994</v>
      </c>
      <c r="C5" s="246" t="s">
        <v>150</v>
      </c>
      <c r="D5" s="245" t="s">
        <v>150</v>
      </c>
    </row>
    <row r="6" spans="1:4" ht="15" x14ac:dyDescent="0.2">
      <c r="A6" s="228" t="s">
        <v>165</v>
      </c>
      <c r="B6" s="236">
        <v>34680967.68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58"/>
  <sheetViews>
    <sheetView zoomScaleNormal="100" workbookViewId="0">
      <pane xSplit="4" ySplit="4" topLeftCell="E44" activePane="bottomRight" state="frozen"/>
      <selection activeCell="E102" sqref="E102"/>
      <selection pane="topRight" activeCell="E102" sqref="E102"/>
      <selection pane="bottomLeft" activeCell="E102" sqref="E102"/>
      <selection pane="bottomRight" activeCell="H10" sqref="H10"/>
    </sheetView>
  </sheetViews>
  <sheetFormatPr defaultRowHeight="14.25" x14ac:dyDescent="0.2"/>
  <cols>
    <col min="1" max="1" width="5.625" style="84" customWidth="1"/>
    <col min="2" max="2" width="2.375" style="84" customWidth="1"/>
    <col min="3" max="3" width="2" style="84" customWidth="1"/>
    <col min="4" max="4" width="30.125" style="84" customWidth="1"/>
    <col min="5" max="5" width="13.125" style="85" customWidth="1"/>
    <col min="6" max="6" width="14" style="85" customWidth="1"/>
    <col min="7" max="7" width="16.125" style="85" customWidth="1"/>
    <col min="8" max="8" width="16.5" style="85" customWidth="1"/>
    <col min="9" max="9" width="13.375" style="85" customWidth="1"/>
    <col min="10" max="10" width="14.625" style="86" customWidth="1"/>
    <col min="11" max="11" width="11.125" style="50" customWidth="1"/>
    <col min="12" max="12" width="5.125" customWidth="1"/>
    <col min="13" max="13" width="13.125" customWidth="1"/>
    <col min="14" max="14" width="12.625" bestFit="1" customWidth="1"/>
  </cols>
  <sheetData>
    <row r="1" spans="1:14" ht="15.75" x14ac:dyDescent="0.25">
      <c r="A1" s="495" t="s">
        <v>1614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4" x14ac:dyDescent="0.2">
      <c r="A2" s="496" t="s">
        <v>0</v>
      </c>
      <c r="B2" s="498" t="s">
        <v>1</v>
      </c>
      <c r="C2" s="499"/>
      <c r="D2" s="500"/>
      <c r="E2" s="504" t="s">
        <v>129</v>
      </c>
      <c r="F2" s="505"/>
      <c r="G2" s="506" t="s">
        <v>130</v>
      </c>
      <c r="H2" s="507"/>
      <c r="I2" s="508" t="s">
        <v>151</v>
      </c>
      <c r="J2" s="508"/>
      <c r="K2" s="51" t="s">
        <v>131</v>
      </c>
      <c r="L2" t="s">
        <v>859</v>
      </c>
    </row>
    <row r="3" spans="1:14" x14ac:dyDescent="0.2">
      <c r="A3" s="497"/>
      <c r="B3" s="501"/>
      <c r="C3" s="502"/>
      <c r="D3" s="503"/>
      <c r="E3" s="52" t="s">
        <v>1615</v>
      </c>
      <c r="F3" s="52" t="s">
        <v>1616</v>
      </c>
      <c r="G3" s="52" t="s">
        <v>1615</v>
      </c>
      <c r="H3" s="52" t="s">
        <v>1616</v>
      </c>
      <c r="I3" s="52" t="s">
        <v>1615</v>
      </c>
      <c r="J3" s="52" t="s">
        <v>1616</v>
      </c>
      <c r="K3" s="53"/>
    </row>
    <row r="4" spans="1:14" x14ac:dyDescent="0.2">
      <c r="A4" s="54">
        <v>1</v>
      </c>
      <c r="B4" s="55" t="s">
        <v>3</v>
      </c>
      <c r="C4" s="56"/>
      <c r="D4" s="57"/>
      <c r="E4" s="305">
        <f t="shared" ref="E4:J4" si="0">E5+E12+E13</f>
        <v>0</v>
      </c>
      <c r="F4" s="305">
        <f t="shared" si="0"/>
        <v>0</v>
      </c>
      <c r="G4" s="305">
        <f t="shared" si="0"/>
        <v>37878060</v>
      </c>
      <c r="H4" s="305">
        <f t="shared" si="0"/>
        <v>40067458.399999999</v>
      </c>
      <c r="I4" s="305">
        <f t="shared" si="0"/>
        <v>37878060</v>
      </c>
      <c r="J4" s="305">
        <f t="shared" si="0"/>
        <v>40067458.399999999</v>
      </c>
      <c r="K4" s="58">
        <f t="shared" ref="K4:K37" si="1">J4/J$55*100</f>
        <v>50.957529823883888</v>
      </c>
    </row>
    <row r="5" spans="1:14" x14ac:dyDescent="0.2">
      <c r="A5" s="59"/>
      <c r="B5" s="60"/>
      <c r="C5" s="61" t="s">
        <v>132</v>
      </c>
      <c r="D5" s="62"/>
      <c r="E5" s="306">
        <f t="shared" ref="E5:J5" si="2">SUM(E6:E11)</f>
        <v>0</v>
      </c>
      <c r="F5" s="306">
        <f t="shared" si="2"/>
        <v>0</v>
      </c>
      <c r="G5" s="306">
        <f t="shared" si="2"/>
        <v>37848060</v>
      </c>
      <c r="H5" s="306">
        <f t="shared" si="2"/>
        <v>40037458.399999999</v>
      </c>
      <c r="I5" s="306">
        <f t="shared" si="2"/>
        <v>37848060</v>
      </c>
      <c r="J5" s="306">
        <f t="shared" si="2"/>
        <v>40037458.399999999</v>
      </c>
      <c r="K5" s="63">
        <f t="shared" si="1"/>
        <v>50.919376021377737</v>
      </c>
    </row>
    <row r="6" spans="1:14" x14ac:dyDescent="0.2">
      <c r="A6" s="64"/>
      <c r="B6" s="65"/>
      <c r="C6" s="66" t="s">
        <v>133</v>
      </c>
      <c r="D6" s="67" t="s">
        <v>15</v>
      </c>
      <c r="E6" s="307">
        <f>แบบบันทึกแม่ข่าย!E5</f>
        <v>0</v>
      </c>
      <c r="F6" s="307">
        <f>แบบบันทึกแม่ข่าย!F5</f>
        <v>0</v>
      </c>
      <c r="G6" s="307">
        <f>แบบบันทึกลูกข่าย!E5</f>
        <v>36173760</v>
      </c>
      <c r="H6" s="307">
        <f>แบบบันทึกลูกข่าย!F5</f>
        <v>38288620.399999999</v>
      </c>
      <c r="I6" s="307">
        <f>SUM(E6,G6)</f>
        <v>36173760</v>
      </c>
      <c r="J6" s="307">
        <f>SUM(F6,H6)</f>
        <v>38288620.399999999</v>
      </c>
      <c r="K6" s="68">
        <f t="shared" si="1"/>
        <v>48.695215365803406</v>
      </c>
      <c r="L6" t="s">
        <v>113</v>
      </c>
    </row>
    <row r="7" spans="1:14" x14ac:dyDescent="0.2">
      <c r="A7" s="64"/>
      <c r="B7" s="65"/>
      <c r="C7" s="66" t="s">
        <v>133</v>
      </c>
      <c r="D7" s="67" t="s">
        <v>16</v>
      </c>
      <c r="E7" s="307">
        <f>แบบบันทึกแม่ข่าย!E6</f>
        <v>0</v>
      </c>
      <c r="F7" s="307">
        <f>แบบบันทึกแม่ข่าย!F6</f>
        <v>0</v>
      </c>
      <c r="G7" s="307">
        <f>แบบบันทึกลูกข่าย!E6</f>
        <v>924000</v>
      </c>
      <c r="H7" s="307">
        <f>แบบบันทึกลูกข่าย!F6</f>
        <v>966000</v>
      </c>
      <c r="I7" s="307">
        <f t="shared" ref="I7:I12" si="3">SUM(E7,G7)</f>
        <v>924000</v>
      </c>
      <c r="J7" s="307">
        <f t="shared" ref="J7:J13" si="4">SUM(F7,H7)</f>
        <v>966000</v>
      </c>
      <c r="K7" s="68">
        <f t="shared" si="1"/>
        <v>1.2285524406976567</v>
      </c>
      <c r="L7" t="s">
        <v>113</v>
      </c>
    </row>
    <row r="8" spans="1:14" x14ac:dyDescent="0.2">
      <c r="A8" s="64"/>
      <c r="B8" s="65"/>
      <c r="C8" s="66" t="s">
        <v>133</v>
      </c>
      <c r="D8" s="67" t="s">
        <v>17</v>
      </c>
      <c r="E8" s="307">
        <f>แบบบันทึกแม่ข่าย!E7</f>
        <v>0</v>
      </c>
      <c r="F8" s="307">
        <f>แบบบันทึกแม่ข่าย!F7</f>
        <v>0</v>
      </c>
      <c r="G8" s="307">
        <f>แบบบันทึกลูกข่าย!E7</f>
        <v>282300</v>
      </c>
      <c r="H8" s="307">
        <f>แบบบันทึกลูกข่าย!F7</f>
        <v>299238</v>
      </c>
      <c r="I8" s="307">
        <f t="shared" si="3"/>
        <v>282300</v>
      </c>
      <c r="J8" s="307">
        <f t="shared" si="4"/>
        <v>299238</v>
      </c>
      <c r="K8" s="68">
        <f t="shared" si="1"/>
        <v>0.38056891847772817</v>
      </c>
      <c r="L8" t="s">
        <v>113</v>
      </c>
    </row>
    <row r="9" spans="1:14" x14ac:dyDescent="0.2">
      <c r="A9" s="64"/>
      <c r="B9" s="65"/>
      <c r="C9" s="66" t="s">
        <v>133</v>
      </c>
      <c r="D9" s="67" t="s">
        <v>18</v>
      </c>
      <c r="E9" s="307">
        <f>แบบบันทึกแม่ข่าย!E8</f>
        <v>0</v>
      </c>
      <c r="F9" s="307">
        <f>แบบบันทึกแม่ข่าย!F8</f>
        <v>0</v>
      </c>
      <c r="G9" s="307">
        <f>แบบบันทึกลูกข่าย!E8</f>
        <v>0</v>
      </c>
      <c r="H9" s="307">
        <f>แบบบันทึกลูกข่าย!F8</f>
        <v>0</v>
      </c>
      <c r="I9" s="307">
        <f t="shared" si="3"/>
        <v>0</v>
      </c>
      <c r="J9" s="307">
        <f t="shared" si="4"/>
        <v>0</v>
      </c>
      <c r="K9" s="68">
        <f t="shared" si="1"/>
        <v>0</v>
      </c>
      <c r="L9" t="s">
        <v>113</v>
      </c>
    </row>
    <row r="10" spans="1:14" x14ac:dyDescent="0.2">
      <c r="A10" s="64"/>
      <c r="B10" s="65"/>
      <c r="C10" s="66" t="s">
        <v>133</v>
      </c>
      <c r="D10" s="67" t="s">
        <v>19</v>
      </c>
      <c r="E10" s="307">
        <f>แบบบันทึกแม่ข่าย!E9</f>
        <v>0</v>
      </c>
      <c r="F10" s="307">
        <f>แบบบันทึกแม่ข่าย!F9</f>
        <v>0</v>
      </c>
      <c r="G10" s="307">
        <f>แบบบันทึกลูกข่าย!E9</f>
        <v>0</v>
      </c>
      <c r="H10" s="307">
        <f>แบบบันทึกลูกข่าย!F9</f>
        <v>0</v>
      </c>
      <c r="I10" s="307">
        <f t="shared" si="3"/>
        <v>0</v>
      </c>
      <c r="J10" s="307">
        <f t="shared" si="4"/>
        <v>0</v>
      </c>
      <c r="K10" s="68">
        <f t="shared" si="1"/>
        <v>0</v>
      </c>
      <c r="L10" t="s">
        <v>113</v>
      </c>
    </row>
    <row r="11" spans="1:14" x14ac:dyDescent="0.2">
      <c r="A11" s="64"/>
      <c r="B11" s="65"/>
      <c r="C11" s="66"/>
      <c r="D11" s="67" t="s">
        <v>134</v>
      </c>
      <c r="E11" s="307">
        <f>SUM(แบบบันทึกแม่ข่าย!E10:E13)</f>
        <v>0</v>
      </c>
      <c r="F11" s="307">
        <f>SUM(แบบบันทึกแม่ข่าย!F10:F13)</f>
        <v>0</v>
      </c>
      <c r="G11" s="307">
        <f>SUM(แบบบันทึกลูกข่าย!E10:E13)</f>
        <v>468000</v>
      </c>
      <c r="H11" s="307">
        <f>SUM(แบบบันทึกลูกข่าย!F10:F13)</f>
        <v>483600</v>
      </c>
      <c r="I11" s="307">
        <f t="shared" si="3"/>
        <v>468000</v>
      </c>
      <c r="J11" s="307">
        <f t="shared" si="4"/>
        <v>483600</v>
      </c>
      <c r="K11" s="68">
        <f t="shared" si="1"/>
        <v>0.61503929639895116</v>
      </c>
      <c r="L11" t="s">
        <v>114</v>
      </c>
    </row>
    <row r="12" spans="1:14" x14ac:dyDescent="0.2">
      <c r="A12" s="69"/>
      <c r="B12" s="70"/>
      <c r="C12" s="71" t="s">
        <v>4</v>
      </c>
      <c r="D12" s="72"/>
      <c r="E12" s="308">
        <f>แบบบันทึกแม่ข่าย!E14</f>
        <v>0</v>
      </c>
      <c r="F12" s="308">
        <f>แบบบันทึกแม่ข่าย!F14</f>
        <v>0</v>
      </c>
      <c r="G12" s="307">
        <f>แบบบันทึกลูกข่าย!E14</f>
        <v>30000</v>
      </c>
      <c r="H12" s="307">
        <f>แบบบันทึกลูกข่าย!F14</f>
        <v>30000</v>
      </c>
      <c r="I12" s="307">
        <f t="shared" si="3"/>
        <v>30000</v>
      </c>
      <c r="J12" s="307">
        <f t="shared" si="4"/>
        <v>30000</v>
      </c>
      <c r="K12" s="63">
        <f t="shared" si="1"/>
        <v>3.815380250613841E-2</v>
      </c>
      <c r="L12" t="s">
        <v>114</v>
      </c>
    </row>
    <row r="13" spans="1:14" x14ac:dyDescent="0.2">
      <c r="A13" s="69"/>
      <c r="B13" s="70"/>
      <c r="C13" s="71" t="s">
        <v>1237</v>
      </c>
      <c r="D13" s="72"/>
      <c r="E13" s="308">
        <f>แบบบันทึกแม่ข่าย!E15</f>
        <v>0</v>
      </c>
      <c r="F13" s="308">
        <f>แบบบันทึกแม่ข่าย!F15</f>
        <v>0</v>
      </c>
      <c r="G13" s="307">
        <f>แบบบันทึกลูกข่าย!E15</f>
        <v>0</v>
      </c>
      <c r="H13" s="307">
        <f>แบบบันทึกลูกข่าย!F15</f>
        <v>0</v>
      </c>
      <c r="I13" s="307">
        <f>SUM(E13,G13)</f>
        <v>0</v>
      </c>
      <c r="J13" s="307">
        <f t="shared" si="4"/>
        <v>0</v>
      </c>
      <c r="K13" s="63">
        <f t="shared" si="1"/>
        <v>0</v>
      </c>
      <c r="L13" s="295" t="s">
        <v>860</v>
      </c>
    </row>
    <row r="14" spans="1:14" x14ac:dyDescent="0.2">
      <c r="A14" s="54">
        <v>2</v>
      </c>
      <c r="B14" s="55" t="s">
        <v>5</v>
      </c>
      <c r="C14" s="56"/>
      <c r="D14" s="57"/>
      <c r="E14" s="305">
        <f>SUM(E15,E18,E20,E26,E30,E31,E36,E40)</f>
        <v>0</v>
      </c>
      <c r="F14" s="305">
        <f>SUM(F15,F18,F20,F26,F30,F31,F36,F40)</f>
        <v>0</v>
      </c>
      <c r="G14" s="305">
        <f>SUM(G15,G18,G20,G26,G30,G31,G36,G40)</f>
        <v>21532546.820255492</v>
      </c>
      <c r="H14" s="305">
        <f>SUM(H15,H18,H20,H26,H30,H31,H36,H40)</f>
        <v>26465626.934589017</v>
      </c>
      <c r="I14" s="305">
        <f>SUM(I15,I18,I20,I26,I30:I37)</f>
        <v>23282620.580510981</v>
      </c>
      <c r="J14" s="305">
        <f>SUM(J15,J18,J20,J26,J30:J37)</f>
        <v>28315791.809178032</v>
      </c>
      <c r="K14" s="58">
        <f t="shared" si="1"/>
        <v>36.01183761641034</v>
      </c>
      <c r="M14" s="232" t="s">
        <v>167</v>
      </c>
      <c r="N14" s="232" t="s">
        <v>168</v>
      </c>
    </row>
    <row r="15" spans="1:14" s="18" customFormat="1" x14ac:dyDescent="0.2">
      <c r="A15" s="91"/>
      <c r="B15" s="87" t="s">
        <v>6</v>
      </c>
      <c r="C15" s="88"/>
      <c r="D15" s="89"/>
      <c r="E15" s="309">
        <f t="shared" ref="E15:J15" si="5">SUM(E16:E17)</f>
        <v>0</v>
      </c>
      <c r="F15" s="309">
        <f t="shared" si="5"/>
        <v>0</v>
      </c>
      <c r="G15" s="309">
        <f t="shared" si="5"/>
        <v>10443879</v>
      </c>
      <c r="H15" s="309">
        <f t="shared" si="5"/>
        <v>15350840</v>
      </c>
      <c r="I15" s="309">
        <f t="shared" si="5"/>
        <v>10443879</v>
      </c>
      <c r="J15" s="309">
        <f t="shared" si="5"/>
        <v>15350840</v>
      </c>
      <c r="K15" s="29">
        <f t="shared" si="1"/>
        <v>19.523097255444323</v>
      </c>
      <c r="M15" s="233"/>
      <c r="N15" s="233"/>
    </row>
    <row r="16" spans="1:14" s="18" customFormat="1" x14ac:dyDescent="0.2">
      <c r="A16" s="14"/>
      <c r="B16" s="11"/>
      <c r="C16" s="1"/>
      <c r="D16" s="11" t="s">
        <v>50</v>
      </c>
      <c r="E16" s="310">
        <f>แบบบันทึกแม่ข่าย!E18</f>
        <v>0</v>
      </c>
      <c r="F16" s="310">
        <f>แบบบันทึกแม่ข่าย!F18</f>
        <v>0</v>
      </c>
      <c r="G16" s="310">
        <f>แบบบันทึกลูกข่าย!E18</f>
        <v>10443879</v>
      </c>
      <c r="H16" s="310">
        <f>แบบบันทึกลูกข่าย!F18</f>
        <v>15350840</v>
      </c>
      <c r="I16" s="307">
        <f>SUM(E16,G16)</f>
        <v>10443879</v>
      </c>
      <c r="J16" s="307">
        <f>SUM(F16,H16)</f>
        <v>15350840</v>
      </c>
      <c r="K16" s="15">
        <f t="shared" si="1"/>
        <v>19.523097255444323</v>
      </c>
      <c r="L16" s="295" t="s">
        <v>106</v>
      </c>
      <c r="M16" s="234">
        <f>รายการตรวจสอบ!B3</f>
        <v>22575426.52</v>
      </c>
      <c r="N16" s="235">
        <f>M16-J16</f>
        <v>7224586.5199999996</v>
      </c>
    </row>
    <row r="17" spans="1:14" s="18" customFormat="1" x14ac:dyDescent="0.2">
      <c r="A17" s="14"/>
      <c r="B17" s="11"/>
      <c r="C17" s="1"/>
      <c r="D17" s="11" t="s">
        <v>62</v>
      </c>
      <c r="E17" s="310">
        <f>แบบบันทึกแม่ข่าย!E19</f>
        <v>0</v>
      </c>
      <c r="F17" s="310">
        <f>แบบบันทึกแม่ข่าย!F19</f>
        <v>0</v>
      </c>
      <c r="G17" s="310">
        <f>แบบบันทึกลูกข่าย!E19</f>
        <v>0</v>
      </c>
      <c r="H17" s="310">
        <f>แบบบันทึกลูกข่าย!F19</f>
        <v>0</v>
      </c>
      <c r="I17" s="307">
        <f>SUM(E17,G17)</f>
        <v>0</v>
      </c>
      <c r="J17" s="307">
        <f>SUM(F17,H17)</f>
        <v>0</v>
      </c>
      <c r="K17" s="15">
        <f t="shared" si="1"/>
        <v>0</v>
      </c>
      <c r="L17" s="295" t="s">
        <v>106</v>
      </c>
      <c r="M17" s="233"/>
      <c r="N17" s="233"/>
    </row>
    <row r="18" spans="1:14" s="18" customFormat="1" x14ac:dyDescent="0.2">
      <c r="A18" s="91"/>
      <c r="B18" s="87" t="s">
        <v>7</v>
      </c>
      <c r="C18" s="88"/>
      <c r="D18" s="89"/>
      <c r="E18" s="309">
        <f t="shared" ref="E18:J18" si="6">SUM(E19:E19)</f>
        <v>0</v>
      </c>
      <c r="F18" s="309">
        <f t="shared" si="6"/>
        <v>0</v>
      </c>
      <c r="G18" s="309">
        <f t="shared" si="6"/>
        <v>0</v>
      </c>
      <c r="H18" s="309">
        <f t="shared" si="6"/>
        <v>0</v>
      </c>
      <c r="I18" s="309">
        <f t="shared" si="6"/>
        <v>0</v>
      </c>
      <c r="J18" s="309">
        <f t="shared" si="6"/>
        <v>0</v>
      </c>
      <c r="K18" s="92">
        <f t="shared" si="1"/>
        <v>0</v>
      </c>
      <c r="M18" s="233"/>
      <c r="N18" s="233"/>
    </row>
    <row r="19" spans="1:14" s="18" customFormat="1" x14ac:dyDescent="0.2">
      <c r="A19" s="14"/>
      <c r="B19" s="11"/>
      <c r="C19" s="1"/>
      <c r="D19" s="11" t="s">
        <v>63</v>
      </c>
      <c r="E19" s="310">
        <f>แบบบันทึกแม่ข่าย!E21</f>
        <v>0</v>
      </c>
      <c r="F19" s="310">
        <f>แบบบันทึกแม่ข่าย!F21</f>
        <v>0</v>
      </c>
      <c r="G19" s="311"/>
      <c r="H19" s="311"/>
      <c r="I19" s="307">
        <f>SUM(E19,G19)</f>
        <v>0</v>
      </c>
      <c r="J19" s="307">
        <f>SUM(F19,H19)</f>
        <v>0</v>
      </c>
      <c r="K19" s="15">
        <f t="shared" si="1"/>
        <v>0</v>
      </c>
      <c r="L19" s="295" t="s">
        <v>106</v>
      </c>
      <c r="M19" s="234">
        <f>รายการตรวจสอบ!B4</f>
        <v>8882368.3000000007</v>
      </c>
      <c r="N19" s="235">
        <f>M19-J19</f>
        <v>8882368.3000000007</v>
      </c>
    </row>
    <row r="20" spans="1:14" s="18" customFormat="1" x14ac:dyDescent="0.2">
      <c r="A20" s="91"/>
      <c r="B20" s="87" t="s">
        <v>8</v>
      </c>
      <c r="C20" s="88"/>
      <c r="D20" s="89"/>
      <c r="E20" s="309">
        <f t="shared" ref="E20:J20" si="7">SUM(E21:E25)</f>
        <v>0</v>
      </c>
      <c r="F20" s="309">
        <f t="shared" si="7"/>
        <v>0</v>
      </c>
      <c r="G20" s="309">
        <f t="shared" si="7"/>
        <v>7262214.0600000005</v>
      </c>
      <c r="H20" s="309">
        <f t="shared" si="7"/>
        <v>7340872.0600000005</v>
      </c>
      <c r="I20" s="309">
        <f t="shared" si="7"/>
        <v>7262214.0600000005</v>
      </c>
      <c r="J20" s="309">
        <f t="shared" si="7"/>
        <v>7340872.0600000005</v>
      </c>
      <c r="K20" s="92">
        <f t="shared" si="1"/>
        <v>9.336072760002315</v>
      </c>
      <c r="M20" s="233"/>
      <c r="N20" s="233"/>
    </row>
    <row r="21" spans="1:14" s="18" customFormat="1" x14ac:dyDescent="0.2">
      <c r="A21" s="14"/>
      <c r="B21" s="11"/>
      <c r="C21" s="11" t="s">
        <v>1238</v>
      </c>
      <c r="D21" s="17"/>
      <c r="E21" s="312">
        <f>แบบบันทึกแม่ข่าย!E23+แบบบันทึกแม่ข่าย!E24</f>
        <v>0</v>
      </c>
      <c r="F21" s="312">
        <f>แบบบันทึกแม่ข่าย!F23+แบบบันทึกแม่ข่าย!F24</f>
        <v>0</v>
      </c>
      <c r="G21" s="312">
        <f>แบบบันทึกลูกข่าย!E23+แบบบันทึกลูกข่าย!E24</f>
        <v>1266526</v>
      </c>
      <c r="H21" s="312">
        <f>แบบบันทึกลูกข่าย!F23+แบบบันทึกลูกข่าย!F24</f>
        <v>1166580</v>
      </c>
      <c r="I21" s="307">
        <f>SUM(E21,G21)</f>
        <v>1266526</v>
      </c>
      <c r="J21" s="307">
        <f>SUM(F21,H21)</f>
        <v>1166580</v>
      </c>
      <c r="K21" s="93">
        <f t="shared" si="1"/>
        <v>1.4836487642536982</v>
      </c>
      <c r="L21" s="295" t="s">
        <v>106</v>
      </c>
      <c r="M21" s="233"/>
      <c r="N21" s="233"/>
    </row>
    <row r="22" spans="1:14" s="18" customFormat="1" x14ac:dyDescent="0.2">
      <c r="A22" s="14"/>
      <c r="B22" s="11"/>
      <c r="C22" s="140" t="s">
        <v>1110</v>
      </c>
      <c r="D22" s="17"/>
      <c r="E22" s="310">
        <f>แบบบันทึกแม่ข่าย!E25</f>
        <v>0</v>
      </c>
      <c r="F22" s="310">
        <f>แบบบันทึกแม่ข่าย!F25</f>
        <v>0</v>
      </c>
      <c r="G22" s="310">
        <f>แบบบันทึกลูกข่าย!E25</f>
        <v>3261002.06</v>
      </c>
      <c r="H22" s="310">
        <f>แบบบันทึกลูกข่าย!F25</f>
        <v>3323512.06</v>
      </c>
      <c r="I22" s="307">
        <f t="shared" ref="I22:J25" si="8">SUM(E22,G22)</f>
        <v>3261002.06</v>
      </c>
      <c r="J22" s="307">
        <f t="shared" si="8"/>
        <v>3323512.06</v>
      </c>
      <c r="K22" s="15">
        <f t="shared" si="1"/>
        <v>4.2268207588003079</v>
      </c>
      <c r="L22" s="295" t="s">
        <v>106</v>
      </c>
      <c r="M22" s="234">
        <f>รายการตรวจสอบ!B5</f>
        <v>4614264.3199999994</v>
      </c>
      <c r="N22" s="235">
        <f>M22-J21</f>
        <v>3447684.3199999994</v>
      </c>
    </row>
    <row r="23" spans="1:14" s="18" customFormat="1" x14ac:dyDescent="0.2">
      <c r="A23" s="14"/>
      <c r="B23" s="11"/>
      <c r="C23" s="140" t="s">
        <v>1124</v>
      </c>
      <c r="D23" s="17"/>
      <c r="E23" s="310">
        <f>แบบบันทึกแม่ข่าย!E26</f>
        <v>0</v>
      </c>
      <c r="F23" s="310">
        <f>แบบบันทึกแม่ข่าย!F26</f>
        <v>0</v>
      </c>
      <c r="G23" s="310">
        <f>แบบบันทึกลูกข่าย!E26</f>
        <v>0</v>
      </c>
      <c r="H23" s="310">
        <f>แบบบันทึกลูกข่าย!F26</f>
        <v>0</v>
      </c>
      <c r="I23" s="307">
        <f t="shared" si="8"/>
        <v>0</v>
      </c>
      <c r="J23" s="307">
        <f t="shared" si="8"/>
        <v>0</v>
      </c>
      <c r="K23" s="15">
        <f t="shared" si="1"/>
        <v>0</v>
      </c>
      <c r="L23" s="295" t="s">
        <v>106</v>
      </c>
    </row>
    <row r="24" spans="1:14" s="18" customFormat="1" x14ac:dyDescent="0.2">
      <c r="A24" s="14"/>
      <c r="B24" s="11"/>
      <c r="C24" s="140" t="s">
        <v>1127</v>
      </c>
      <c r="D24" s="17"/>
      <c r="E24" s="310">
        <f>แบบบันทึกแม่ข่าย!E27</f>
        <v>0</v>
      </c>
      <c r="F24" s="310">
        <f>แบบบันทึกแม่ข่าย!F27</f>
        <v>0</v>
      </c>
      <c r="G24" s="310">
        <f>แบบบันทึกลูกข่าย!E27</f>
        <v>0</v>
      </c>
      <c r="H24" s="310">
        <f>แบบบันทึกลูกข่าย!F27</f>
        <v>0</v>
      </c>
      <c r="I24" s="307">
        <f>SUM(E24,G24)</f>
        <v>0</v>
      </c>
      <c r="J24" s="307">
        <f>SUM(F24,H24)</f>
        <v>0</v>
      </c>
      <c r="K24" s="15">
        <f t="shared" si="1"/>
        <v>0</v>
      </c>
      <c r="L24" s="295" t="s">
        <v>106</v>
      </c>
    </row>
    <row r="25" spans="1:14" s="18" customFormat="1" x14ac:dyDescent="0.2">
      <c r="A25" s="14"/>
      <c r="B25" s="11"/>
      <c r="C25" s="11" t="s">
        <v>154</v>
      </c>
      <c r="D25" s="17"/>
      <c r="E25" s="310">
        <f>แบบบันทึกแม่ข่าย!E28</f>
        <v>0</v>
      </c>
      <c r="F25" s="310">
        <f>แบบบันทึกแม่ข่าย!F28</f>
        <v>0</v>
      </c>
      <c r="G25" s="310">
        <f>แบบบันทึกลูกข่าย!E28</f>
        <v>2734686</v>
      </c>
      <c r="H25" s="310">
        <f>แบบบันทึกลูกข่าย!F28</f>
        <v>2850780</v>
      </c>
      <c r="I25" s="307">
        <f t="shared" si="8"/>
        <v>2734686</v>
      </c>
      <c r="J25" s="307">
        <f t="shared" si="8"/>
        <v>2850780</v>
      </c>
      <c r="K25" s="15">
        <f t="shared" si="1"/>
        <v>3.6256032369483084</v>
      </c>
      <c r="L25" s="295" t="s">
        <v>106</v>
      </c>
    </row>
    <row r="26" spans="1:14" s="18" customFormat="1" x14ac:dyDescent="0.2">
      <c r="A26" s="91"/>
      <c r="B26" s="88" t="s">
        <v>149</v>
      </c>
      <c r="C26" s="88"/>
      <c r="D26" s="89"/>
      <c r="E26" s="309">
        <f t="shared" ref="E26:J26" si="9">SUM(E27:E29)</f>
        <v>0</v>
      </c>
      <c r="F26" s="309">
        <f t="shared" si="9"/>
        <v>0</v>
      </c>
      <c r="G26" s="309">
        <f t="shared" si="9"/>
        <v>0</v>
      </c>
      <c r="H26" s="309">
        <f t="shared" si="9"/>
        <v>0</v>
      </c>
      <c r="I26" s="309">
        <f t="shared" si="9"/>
        <v>0</v>
      </c>
      <c r="J26" s="309">
        <f t="shared" si="9"/>
        <v>0</v>
      </c>
      <c r="K26" s="29">
        <f t="shared" si="1"/>
        <v>0</v>
      </c>
    </row>
    <row r="27" spans="1:14" s="18" customFormat="1" x14ac:dyDescent="0.2">
      <c r="A27" s="14"/>
      <c r="B27" s="11"/>
      <c r="C27" s="140" t="s">
        <v>1113</v>
      </c>
      <c r="D27" s="11"/>
      <c r="E27" s="312">
        <f>แบบบันทึกแม่ข่าย!E30</f>
        <v>0</v>
      </c>
      <c r="F27" s="312">
        <f>แบบบันทึกแม่ข่าย!F30</f>
        <v>0</v>
      </c>
      <c r="G27" s="311"/>
      <c r="H27" s="311"/>
      <c r="I27" s="307">
        <f t="shared" ref="I27:I39" si="10">SUM(E27,G27)</f>
        <v>0</v>
      </c>
      <c r="J27" s="307">
        <f t="shared" ref="J27:J39" si="11">SUM(F27,H27)</f>
        <v>0</v>
      </c>
      <c r="K27" s="15">
        <f t="shared" si="1"/>
        <v>0</v>
      </c>
      <c r="L27" s="295" t="s">
        <v>106</v>
      </c>
    </row>
    <row r="28" spans="1:14" s="18" customFormat="1" x14ac:dyDescent="0.2">
      <c r="A28" s="14"/>
      <c r="B28" s="11"/>
      <c r="C28" s="140" t="s">
        <v>1114</v>
      </c>
      <c r="D28" s="11"/>
      <c r="E28" s="312">
        <f>แบบบันทึกแม่ข่าย!E31</f>
        <v>0</v>
      </c>
      <c r="F28" s="312">
        <f>แบบบันทึกแม่ข่าย!F31</f>
        <v>0</v>
      </c>
      <c r="G28" s="311"/>
      <c r="H28" s="311"/>
      <c r="I28" s="307">
        <f t="shared" si="10"/>
        <v>0</v>
      </c>
      <c r="J28" s="307">
        <f t="shared" si="11"/>
        <v>0</v>
      </c>
      <c r="K28" s="15">
        <f t="shared" si="1"/>
        <v>0</v>
      </c>
      <c r="L28" s="295" t="s">
        <v>106</v>
      </c>
    </row>
    <row r="29" spans="1:14" s="18" customFormat="1" x14ac:dyDescent="0.2">
      <c r="A29" s="14"/>
      <c r="B29" s="11"/>
      <c r="C29" s="140" t="s">
        <v>1118</v>
      </c>
      <c r="D29" s="11"/>
      <c r="E29" s="312">
        <f>แบบบันทึกแม่ข่าย!E32</f>
        <v>0</v>
      </c>
      <c r="F29" s="312">
        <f>แบบบันทึกแม่ข่าย!F32</f>
        <v>0</v>
      </c>
      <c r="G29" s="311"/>
      <c r="H29" s="311"/>
      <c r="I29" s="307">
        <f t="shared" si="10"/>
        <v>0</v>
      </c>
      <c r="J29" s="307">
        <f t="shared" si="11"/>
        <v>0</v>
      </c>
      <c r="K29" s="15">
        <f t="shared" si="1"/>
        <v>0</v>
      </c>
      <c r="L29" s="295" t="s">
        <v>106</v>
      </c>
    </row>
    <row r="30" spans="1:14" s="18" customFormat="1" x14ac:dyDescent="0.2">
      <c r="A30" s="91"/>
      <c r="B30" s="87" t="s">
        <v>157</v>
      </c>
      <c r="C30" s="87"/>
      <c r="D30" s="87"/>
      <c r="E30" s="309">
        <f>แบบบันทึกแม่ข่าย!E37</f>
        <v>0</v>
      </c>
      <c r="F30" s="309">
        <f>แบบบันทึกแม่ข่าย!F37</f>
        <v>0</v>
      </c>
      <c r="G30" s="309">
        <f>แบบบันทึกลูกข่าย!E37</f>
        <v>2076380</v>
      </c>
      <c r="H30" s="309">
        <f>แบบบันทึกลูกข่าย!F37</f>
        <v>1923750</v>
      </c>
      <c r="I30" s="313">
        <f>SUM(E30,G30)</f>
        <v>2076380</v>
      </c>
      <c r="J30" s="313">
        <f>SUM(F30,H30)</f>
        <v>1923750</v>
      </c>
      <c r="K30" s="29">
        <f t="shared" si="1"/>
        <v>2.4466125857061254</v>
      </c>
      <c r="L30" s="295" t="s">
        <v>860</v>
      </c>
    </row>
    <row r="31" spans="1:14" s="18" customFormat="1" x14ac:dyDescent="0.2">
      <c r="A31" s="91"/>
      <c r="B31" s="87" t="s">
        <v>1241</v>
      </c>
      <c r="C31" s="87"/>
      <c r="D31" s="87"/>
      <c r="E31" s="309">
        <f>SUM(E32:E35)</f>
        <v>0</v>
      </c>
      <c r="F31" s="309">
        <f>SUM(F32:F35)</f>
        <v>0</v>
      </c>
      <c r="G31" s="309">
        <f>SUM(G32:G35)</f>
        <v>1750073.7602554888</v>
      </c>
      <c r="H31" s="309">
        <f>SUM(H32:H35)</f>
        <v>1850164.8745890146</v>
      </c>
      <c r="I31" s="313">
        <f>SUM(E31,G31)</f>
        <v>1750073.7602554888</v>
      </c>
      <c r="J31" s="313">
        <f>SUM(F31,H31)</f>
        <v>1850164.8745890146</v>
      </c>
      <c r="K31" s="29">
        <f t="shared" si="1"/>
        <v>2.353027507628787</v>
      </c>
      <c r="L31" s="295"/>
    </row>
    <row r="32" spans="1:14" s="18" customFormat="1" x14ac:dyDescent="0.2">
      <c r="A32" s="14"/>
      <c r="B32" s="11"/>
      <c r="C32" s="11" t="s">
        <v>1242</v>
      </c>
      <c r="D32" s="17"/>
      <c r="E32" s="310">
        <f>แบบบันทึกแม่ข่าย!E41</f>
        <v>0</v>
      </c>
      <c r="F32" s="310">
        <f>แบบบันทึกแม่ข่าย!F41</f>
        <v>0</v>
      </c>
      <c r="G32" s="310">
        <f>แบบบันทึกลูกข่าย!E41</f>
        <v>1750073.7602554888</v>
      </c>
      <c r="H32" s="310">
        <f>แบบบันทึกลูกข่าย!F41</f>
        <v>1750164.8745890146</v>
      </c>
      <c r="I32" s="307">
        <f t="shared" si="10"/>
        <v>1750073.7602554888</v>
      </c>
      <c r="J32" s="307">
        <f t="shared" si="11"/>
        <v>1750164.8745890146</v>
      </c>
      <c r="K32" s="15">
        <f t="shared" si="1"/>
        <v>2.2258481659416587</v>
      </c>
      <c r="L32" s="295" t="s">
        <v>106</v>
      </c>
    </row>
    <row r="33" spans="1:12" s="18" customFormat="1" x14ac:dyDescent="0.2">
      <c r="A33" s="14"/>
      <c r="B33" s="11"/>
      <c r="C33" s="11" t="s">
        <v>1243</v>
      </c>
      <c r="D33" s="17"/>
      <c r="E33" s="310">
        <f>แบบบันทึกแม่ข่าย!E42</f>
        <v>0</v>
      </c>
      <c r="F33" s="310">
        <f>แบบบันทึกแม่ข่าย!F42</f>
        <v>0</v>
      </c>
      <c r="G33" s="311"/>
      <c r="H33" s="311"/>
      <c r="I33" s="307">
        <f t="shared" si="10"/>
        <v>0</v>
      </c>
      <c r="J33" s="307">
        <f t="shared" si="11"/>
        <v>0</v>
      </c>
      <c r="K33" s="15">
        <f t="shared" si="1"/>
        <v>0</v>
      </c>
      <c r="L33" s="295" t="s">
        <v>106</v>
      </c>
    </row>
    <row r="34" spans="1:12" s="18" customFormat="1" x14ac:dyDescent="0.2">
      <c r="A34" s="14"/>
      <c r="B34" s="11"/>
      <c r="C34" s="11" t="s">
        <v>1244</v>
      </c>
      <c r="D34" s="17"/>
      <c r="E34" s="310">
        <f>แบบบันทึกแม่ข่าย!E43</f>
        <v>0</v>
      </c>
      <c r="F34" s="310">
        <f>แบบบันทึกแม่ข่าย!F43</f>
        <v>0</v>
      </c>
      <c r="G34" s="311"/>
      <c r="H34" s="311"/>
      <c r="I34" s="307">
        <f t="shared" si="10"/>
        <v>0</v>
      </c>
      <c r="J34" s="307">
        <f t="shared" si="11"/>
        <v>0</v>
      </c>
      <c r="K34" s="15">
        <f t="shared" si="1"/>
        <v>0</v>
      </c>
      <c r="L34" s="295" t="s">
        <v>106</v>
      </c>
    </row>
    <row r="35" spans="1:12" s="18" customFormat="1" x14ac:dyDescent="0.2">
      <c r="A35" s="14"/>
      <c r="B35" s="11"/>
      <c r="C35" s="11" t="s">
        <v>1255</v>
      </c>
      <c r="D35" s="17"/>
      <c r="E35" s="310">
        <f>SUM(แบบบันทึกแม่ข่าย!E44:E47)</f>
        <v>0</v>
      </c>
      <c r="F35" s="310">
        <f>SUM(แบบบันทึกแม่ข่าย!F44:F47)</f>
        <v>0</v>
      </c>
      <c r="G35" s="310">
        <f>SUM(แบบบันทึกลูกข่าย!E44:E47)</f>
        <v>0</v>
      </c>
      <c r="H35" s="310">
        <f>SUM(แบบบันทึกลูกข่าย!F44:F47)</f>
        <v>100000</v>
      </c>
      <c r="I35" s="307">
        <f t="shared" si="10"/>
        <v>0</v>
      </c>
      <c r="J35" s="307">
        <f t="shared" si="11"/>
        <v>100000</v>
      </c>
      <c r="K35" s="15">
        <f t="shared" si="1"/>
        <v>0.12717934168712802</v>
      </c>
      <c r="L35" s="295" t="s">
        <v>106</v>
      </c>
    </row>
    <row r="36" spans="1:12" s="18" customFormat="1" x14ac:dyDescent="0.2">
      <c r="A36" s="91"/>
      <c r="B36" s="87" t="s">
        <v>1129</v>
      </c>
      <c r="C36" s="87"/>
      <c r="D36" s="87"/>
      <c r="E36" s="309">
        <f>SUM(E37:E39)</f>
        <v>0</v>
      </c>
      <c r="F36" s="309">
        <f>SUM(F37:F39)</f>
        <v>0</v>
      </c>
      <c r="G36" s="309">
        <f>SUM(G37:G39)</f>
        <v>0</v>
      </c>
      <c r="H36" s="309">
        <f>SUM(H37:H39)</f>
        <v>0</v>
      </c>
      <c r="I36" s="313">
        <f>SUM(E36,G36)</f>
        <v>0</v>
      </c>
      <c r="J36" s="313">
        <f>SUM(F36,H36)</f>
        <v>0</v>
      </c>
      <c r="K36" s="29">
        <f t="shared" si="1"/>
        <v>0</v>
      </c>
      <c r="L36" s="295"/>
    </row>
    <row r="37" spans="1:12" s="18" customFormat="1" x14ac:dyDescent="0.2">
      <c r="A37" s="14"/>
      <c r="B37" s="11"/>
      <c r="C37" s="11" t="s">
        <v>1249</v>
      </c>
      <c r="D37" s="17"/>
      <c r="E37" s="310">
        <f>แบบบันทึกแม่ข่าย!E49</f>
        <v>0</v>
      </c>
      <c r="F37" s="310">
        <f>แบบบันทึกแม่ข่าย!F49</f>
        <v>0</v>
      </c>
      <c r="G37" s="311"/>
      <c r="H37" s="311"/>
      <c r="I37" s="307">
        <f t="shared" si="10"/>
        <v>0</v>
      </c>
      <c r="J37" s="307">
        <f t="shared" si="11"/>
        <v>0</v>
      </c>
      <c r="K37" s="15">
        <f t="shared" si="1"/>
        <v>0</v>
      </c>
      <c r="L37" s="295" t="s">
        <v>106</v>
      </c>
    </row>
    <row r="38" spans="1:12" s="18" customFormat="1" x14ac:dyDescent="0.2">
      <c r="A38" s="14"/>
      <c r="B38" s="11"/>
      <c r="C38" s="11" t="s">
        <v>1250</v>
      </c>
      <c r="D38" s="17"/>
      <c r="E38" s="310">
        <f>แบบบันทึกแม่ข่าย!E50</f>
        <v>0</v>
      </c>
      <c r="F38" s="310">
        <f>แบบบันทึกแม่ข่าย!F50</f>
        <v>0</v>
      </c>
      <c r="G38" s="311"/>
      <c r="H38" s="311"/>
      <c r="I38" s="307">
        <f t="shared" si="10"/>
        <v>0</v>
      </c>
      <c r="J38" s="307">
        <f t="shared" si="11"/>
        <v>0</v>
      </c>
      <c r="K38" s="15">
        <f t="shared" ref="K38:K55" si="12">J38/J$55*100</f>
        <v>0</v>
      </c>
      <c r="L38" s="295" t="s">
        <v>106</v>
      </c>
    </row>
    <row r="39" spans="1:12" s="18" customFormat="1" x14ac:dyDescent="0.2">
      <c r="A39" s="14"/>
      <c r="B39" s="11"/>
      <c r="C39" s="11" t="s">
        <v>1251</v>
      </c>
      <c r="D39" s="17"/>
      <c r="E39" s="310">
        <f>แบบบันทึกแม่ข่าย!E51</f>
        <v>0</v>
      </c>
      <c r="F39" s="310">
        <f>แบบบันทึกแม่ข่าย!F51</f>
        <v>0</v>
      </c>
      <c r="G39" s="310">
        <f>แบบบันทึกลูกข่าย!E51</f>
        <v>0</v>
      </c>
      <c r="H39" s="310">
        <f>แบบบันทึกลูกข่าย!F51</f>
        <v>0</v>
      </c>
      <c r="I39" s="307">
        <f t="shared" si="10"/>
        <v>0</v>
      </c>
      <c r="J39" s="307">
        <f t="shared" si="11"/>
        <v>0</v>
      </c>
      <c r="K39" s="15">
        <f t="shared" si="12"/>
        <v>0</v>
      </c>
      <c r="L39" s="295" t="s">
        <v>114</v>
      </c>
    </row>
    <row r="40" spans="1:12" s="18" customFormat="1" x14ac:dyDescent="0.2">
      <c r="A40" s="91"/>
      <c r="B40" s="87" t="s">
        <v>1130</v>
      </c>
      <c r="C40" s="87"/>
      <c r="D40" s="87"/>
      <c r="E40" s="309">
        <f>SUM(E41:E42)</f>
        <v>0</v>
      </c>
      <c r="F40" s="309">
        <f>SUM(F41:F42)</f>
        <v>0</v>
      </c>
      <c r="G40" s="309">
        <f>SUM(G41:G42)</f>
        <v>0</v>
      </c>
      <c r="H40" s="309">
        <f>SUM(H41:H42)</f>
        <v>0</v>
      </c>
      <c r="I40" s="313">
        <f>SUM(E40,G40)</f>
        <v>0</v>
      </c>
      <c r="J40" s="313">
        <f>SUM(F40,H40)</f>
        <v>0</v>
      </c>
      <c r="K40" s="29">
        <f>J40/J$55*100</f>
        <v>0</v>
      </c>
      <c r="L40" s="295"/>
    </row>
    <row r="41" spans="1:12" x14ac:dyDescent="0.2">
      <c r="A41" s="64"/>
      <c r="B41" s="74"/>
      <c r="C41" s="66" t="s">
        <v>135</v>
      </c>
      <c r="D41" s="75"/>
      <c r="E41" s="308">
        <f>แบบบันทึกแม่ข่าย!E53</f>
        <v>0</v>
      </c>
      <c r="F41" s="308">
        <f>แบบบันทึกแม่ข่าย!F53</f>
        <v>0</v>
      </c>
      <c r="G41" s="308">
        <f>แบบบันทึกลูกข่าย!E53</f>
        <v>0</v>
      </c>
      <c r="H41" s="308">
        <f>แบบบันทึกลูกข่าย!F53</f>
        <v>0</v>
      </c>
      <c r="I41" s="307">
        <f>E41+G41</f>
        <v>0</v>
      </c>
      <c r="J41" s="314">
        <f>H41+F41</f>
        <v>0</v>
      </c>
      <c r="K41" s="68">
        <f t="shared" si="12"/>
        <v>0</v>
      </c>
      <c r="L41" s="295" t="s">
        <v>106</v>
      </c>
    </row>
    <row r="42" spans="1:12" x14ac:dyDescent="0.2">
      <c r="A42" s="76"/>
      <c r="B42" s="74"/>
      <c r="C42" s="66" t="s">
        <v>1256</v>
      </c>
      <c r="D42" s="75"/>
      <c r="E42" s="308">
        <f>แบบบันทึกแม่ข่าย!E54+แบบบันทึกแม่ข่าย!E55</f>
        <v>0</v>
      </c>
      <c r="F42" s="308">
        <f>แบบบันทึกแม่ข่าย!F54+แบบบันทึกแม่ข่าย!F55</f>
        <v>0</v>
      </c>
      <c r="G42" s="315">
        <v>0</v>
      </c>
      <c r="H42" s="315">
        <v>0</v>
      </c>
      <c r="I42" s="316">
        <f>E42+G42</f>
        <v>0</v>
      </c>
      <c r="J42" s="317">
        <f>H42+F42</f>
        <v>0</v>
      </c>
      <c r="K42" s="68">
        <f t="shared" si="12"/>
        <v>0</v>
      </c>
      <c r="L42" s="295" t="s">
        <v>106</v>
      </c>
    </row>
    <row r="43" spans="1:12" x14ac:dyDescent="0.2">
      <c r="A43" s="54">
        <v>3</v>
      </c>
      <c r="B43" s="55" t="s">
        <v>10</v>
      </c>
      <c r="C43" s="56"/>
      <c r="D43" s="57"/>
      <c r="E43" s="318">
        <f>แบบบันทึกแม่ข่าย!E56</f>
        <v>0</v>
      </c>
      <c r="F43" s="318">
        <f>แบบบันทึกแม่ข่าย!F56</f>
        <v>0</v>
      </c>
      <c r="G43" s="319"/>
      <c r="H43" s="319"/>
      <c r="I43" s="318">
        <f>SUM(E43,G43)</f>
        <v>0</v>
      </c>
      <c r="J43" s="318">
        <f>SUM(F43,H43)</f>
        <v>0</v>
      </c>
      <c r="K43" s="58">
        <f t="shared" si="12"/>
        <v>0</v>
      </c>
      <c r="L43" t="s">
        <v>114</v>
      </c>
    </row>
    <row r="44" spans="1:12" x14ac:dyDescent="0.2">
      <c r="A44" s="54">
        <v>4</v>
      </c>
      <c r="B44" s="55" t="s">
        <v>67</v>
      </c>
      <c r="C44" s="56"/>
      <c r="D44" s="57"/>
      <c r="E44" s="305">
        <f t="shared" ref="E44:J44" si="13">SUM(E45:E51)</f>
        <v>0</v>
      </c>
      <c r="F44" s="305">
        <f t="shared" si="13"/>
        <v>0</v>
      </c>
      <c r="G44" s="305">
        <f t="shared" si="13"/>
        <v>534650.89</v>
      </c>
      <c r="H44" s="305">
        <f t="shared" si="13"/>
        <v>666040</v>
      </c>
      <c r="I44" s="305">
        <f t="shared" si="13"/>
        <v>534650.89</v>
      </c>
      <c r="J44" s="305">
        <f t="shared" si="13"/>
        <v>666040</v>
      </c>
      <c r="K44" s="58">
        <f t="shared" si="12"/>
        <v>0.84706528737294751</v>
      </c>
    </row>
    <row r="45" spans="1:12" x14ac:dyDescent="0.2">
      <c r="A45" s="64"/>
      <c r="B45" s="74"/>
      <c r="C45" s="66" t="s">
        <v>136</v>
      </c>
      <c r="D45" s="75"/>
      <c r="E45" s="308">
        <f>แบบบันทึกแม่ข่าย!E59</f>
        <v>0</v>
      </c>
      <c r="F45" s="308">
        <f>แบบบันทึกแม่ข่าย!F59</f>
        <v>0</v>
      </c>
      <c r="G45" s="308">
        <f>แบบบันทึกลูกข่าย!E59</f>
        <v>0</v>
      </c>
      <c r="H45" s="308">
        <f>แบบบันทึกลูกข่าย!F59</f>
        <v>0</v>
      </c>
      <c r="I45" s="307">
        <f t="shared" ref="I45:I51" si="14">SUM(E45,G45)</f>
        <v>0</v>
      </c>
      <c r="J45" s="314">
        <f t="shared" ref="J45:J51" si="15">SUM(F45,H45)</f>
        <v>0</v>
      </c>
      <c r="K45" s="68">
        <f t="shared" si="12"/>
        <v>0</v>
      </c>
      <c r="L45" t="s">
        <v>108</v>
      </c>
    </row>
    <row r="46" spans="1:12" x14ac:dyDescent="0.2">
      <c r="A46" s="64"/>
      <c r="B46" s="74"/>
      <c r="C46" s="66" t="s">
        <v>703</v>
      </c>
      <c r="D46" s="75"/>
      <c r="E46" s="308">
        <f>แบบบันทึกแม่ข่าย!E62</f>
        <v>0</v>
      </c>
      <c r="F46" s="308">
        <f>แบบบันทึกแม่ข่าย!F62</f>
        <v>0</v>
      </c>
      <c r="G46" s="308">
        <f>แบบบันทึกลูกข่าย!E62</f>
        <v>0</v>
      </c>
      <c r="H46" s="308">
        <f>แบบบันทึกลูกข่าย!F62</f>
        <v>0</v>
      </c>
      <c r="I46" s="307">
        <f>SUM(E46,G46)</f>
        <v>0</v>
      </c>
      <c r="J46" s="314">
        <f>SUM(F46,H46)</f>
        <v>0</v>
      </c>
      <c r="K46" s="68">
        <f t="shared" si="12"/>
        <v>0</v>
      </c>
      <c r="L46" t="s">
        <v>109</v>
      </c>
    </row>
    <row r="47" spans="1:12" x14ac:dyDescent="0.2">
      <c r="A47" s="64"/>
      <c r="B47" s="74"/>
      <c r="C47" s="66" t="s">
        <v>845</v>
      </c>
      <c r="D47" s="75"/>
      <c r="E47" s="308">
        <f>แบบบันทึกแม่ข่าย!E65</f>
        <v>0</v>
      </c>
      <c r="F47" s="308">
        <f>แบบบันทึกแม่ข่าย!F65</f>
        <v>0</v>
      </c>
      <c r="G47" s="308">
        <f>แบบบันทึกลูกข่าย!E65</f>
        <v>145794.64000000001</v>
      </c>
      <c r="H47" s="308">
        <f>แบบบันทึกลูกข่าย!F65</f>
        <v>197150</v>
      </c>
      <c r="I47" s="307">
        <f>SUM(E47,G47)</f>
        <v>145794.64000000001</v>
      </c>
      <c r="J47" s="314">
        <f>SUM(F47,H47)</f>
        <v>197150</v>
      </c>
      <c r="K47" s="68">
        <f t="shared" si="12"/>
        <v>0.25073407213617294</v>
      </c>
      <c r="L47" t="s">
        <v>1094</v>
      </c>
    </row>
    <row r="48" spans="1:12" x14ac:dyDescent="0.2">
      <c r="A48" s="64"/>
      <c r="B48" s="74"/>
      <c r="C48" s="66" t="s">
        <v>137</v>
      </c>
      <c r="D48" s="75"/>
      <c r="E48" s="308">
        <f>แบบบันทึกแม่ข่าย!E68</f>
        <v>0</v>
      </c>
      <c r="F48" s="308">
        <f>แบบบันทึกแม่ข่าย!F68</f>
        <v>0</v>
      </c>
      <c r="G48" s="308">
        <f>แบบบันทึกลูกข่าย!E68</f>
        <v>330542.25</v>
      </c>
      <c r="H48" s="308">
        <f>แบบบันทึกลูกข่าย!F68</f>
        <v>403390</v>
      </c>
      <c r="I48" s="307">
        <f t="shared" si="14"/>
        <v>330542.25</v>
      </c>
      <c r="J48" s="314">
        <f t="shared" si="15"/>
        <v>403390</v>
      </c>
      <c r="K48" s="68">
        <f t="shared" si="12"/>
        <v>0.51302874643170582</v>
      </c>
      <c r="L48" t="s">
        <v>110</v>
      </c>
    </row>
    <row r="49" spans="1:12" x14ac:dyDescent="0.2">
      <c r="A49" s="64"/>
      <c r="B49" s="74"/>
      <c r="C49" s="66" t="s">
        <v>138</v>
      </c>
      <c r="D49" s="75"/>
      <c r="E49" s="308">
        <f>แบบบันทึกแม่ข่าย!E71</f>
        <v>0</v>
      </c>
      <c r="F49" s="308">
        <f>แบบบันทึกแม่ข่าย!F71</f>
        <v>0</v>
      </c>
      <c r="G49" s="308">
        <f>แบบบันทึกลูกข่าย!E71</f>
        <v>0</v>
      </c>
      <c r="H49" s="308">
        <f>แบบบันทึกลูกข่าย!F71</f>
        <v>0</v>
      </c>
      <c r="I49" s="307">
        <f t="shared" si="14"/>
        <v>0</v>
      </c>
      <c r="J49" s="314">
        <f t="shared" si="15"/>
        <v>0</v>
      </c>
      <c r="K49" s="68">
        <f t="shared" si="12"/>
        <v>0</v>
      </c>
      <c r="L49" t="s">
        <v>112</v>
      </c>
    </row>
    <row r="50" spans="1:12" x14ac:dyDescent="0.2">
      <c r="A50" s="64"/>
      <c r="B50" s="74"/>
      <c r="C50" s="66" t="s">
        <v>139</v>
      </c>
      <c r="D50" s="75"/>
      <c r="E50" s="308">
        <f>แบบบันทึกแม่ข่าย!E74</f>
        <v>0</v>
      </c>
      <c r="F50" s="308">
        <f>แบบบันทึกแม่ข่าย!F74</f>
        <v>0</v>
      </c>
      <c r="G50" s="308">
        <f>แบบบันทึกลูกข่าย!E74</f>
        <v>0</v>
      </c>
      <c r="H50" s="308">
        <f>แบบบันทึกลูกข่าย!F74</f>
        <v>0</v>
      </c>
      <c r="I50" s="307">
        <f t="shared" si="14"/>
        <v>0</v>
      </c>
      <c r="J50" s="314">
        <f t="shared" si="15"/>
        <v>0</v>
      </c>
      <c r="K50" s="68">
        <f t="shared" si="12"/>
        <v>0</v>
      </c>
      <c r="L50" t="s">
        <v>111</v>
      </c>
    </row>
    <row r="51" spans="1:12" x14ac:dyDescent="0.2">
      <c r="A51" s="64"/>
      <c r="B51" s="74"/>
      <c r="C51" s="66" t="s">
        <v>140</v>
      </c>
      <c r="D51" s="75"/>
      <c r="E51" s="308">
        <f>แบบบันทึกแม่ข่าย!E77+แบบบันทึกแม่ข่าย!E80</f>
        <v>0</v>
      </c>
      <c r="F51" s="308">
        <f>แบบบันทึกแม่ข่าย!F77+แบบบันทึกแม่ข่าย!F80</f>
        <v>0</v>
      </c>
      <c r="G51" s="308">
        <f>แบบบันทึกลูกข่าย!E77+แบบบันทึกลูกข่าย!E80</f>
        <v>58314</v>
      </c>
      <c r="H51" s="308">
        <f>แบบบันทึกลูกข่าย!F77+แบบบันทึกลูกข่าย!F80</f>
        <v>65500</v>
      </c>
      <c r="I51" s="307">
        <f t="shared" si="14"/>
        <v>58314</v>
      </c>
      <c r="J51" s="314">
        <f t="shared" si="15"/>
        <v>65500</v>
      </c>
      <c r="K51" s="68">
        <f t="shared" si="12"/>
        <v>8.3302468805068863E-2</v>
      </c>
      <c r="L51" t="s">
        <v>112</v>
      </c>
    </row>
    <row r="52" spans="1:12" x14ac:dyDescent="0.2">
      <c r="A52" s="54">
        <v>5</v>
      </c>
      <c r="B52" s="55" t="s">
        <v>142</v>
      </c>
      <c r="C52" s="77"/>
      <c r="D52" s="78"/>
      <c r="E52" s="305">
        <f>แบบบันทึกแม่ข่าย!E83</f>
        <v>0</v>
      </c>
      <c r="F52" s="305">
        <f>แบบบันทึกแม่ข่าย!F83</f>
        <v>0</v>
      </c>
      <c r="G52" s="319"/>
      <c r="H52" s="319"/>
      <c r="I52" s="305">
        <f>E52+G52</f>
        <v>0</v>
      </c>
      <c r="J52" s="320">
        <f>H52+F52</f>
        <v>0</v>
      </c>
      <c r="K52" s="58">
        <f t="shared" si="12"/>
        <v>0</v>
      </c>
      <c r="L52" t="s">
        <v>107</v>
      </c>
    </row>
    <row r="53" spans="1:12" x14ac:dyDescent="0.2">
      <c r="A53" s="54">
        <v>6</v>
      </c>
      <c r="B53" s="55" t="s">
        <v>1257</v>
      </c>
      <c r="C53" s="77"/>
      <c r="D53" s="78"/>
      <c r="E53" s="305">
        <f>แบบบันทึกแม่ข่าย!E85</f>
        <v>0</v>
      </c>
      <c r="F53" s="305">
        <f>แบบบันทึกแม่ข่าย!F85</f>
        <v>0</v>
      </c>
      <c r="G53" s="319"/>
      <c r="H53" s="319"/>
      <c r="I53" s="305">
        <f>E53+G53</f>
        <v>0</v>
      </c>
      <c r="J53" s="305">
        <f>F53+H53</f>
        <v>0</v>
      </c>
      <c r="K53" s="58">
        <f t="shared" si="12"/>
        <v>0</v>
      </c>
      <c r="L53" t="s">
        <v>112</v>
      </c>
    </row>
    <row r="54" spans="1:12" x14ac:dyDescent="0.2">
      <c r="A54" s="54">
        <v>7</v>
      </c>
      <c r="B54" s="55" t="s">
        <v>143</v>
      </c>
      <c r="C54" s="77"/>
      <c r="D54" s="78"/>
      <c r="E54" s="305">
        <f>แบบบันทึกแม่ข่าย!E87</f>
        <v>0</v>
      </c>
      <c r="F54" s="305">
        <f>แบบบันทึกแม่ข่าย!F87</f>
        <v>0</v>
      </c>
      <c r="G54" s="305">
        <f>แบบบันทึกลูกข่าย!E87</f>
        <v>9546495</v>
      </c>
      <c r="H54" s="305">
        <f>แบบบันทึกลูกข่าย!F87</f>
        <v>9579832</v>
      </c>
      <c r="I54" s="305">
        <f>E54+G54</f>
        <v>9546495</v>
      </c>
      <c r="J54" s="305">
        <f>F54+H54</f>
        <v>9579832</v>
      </c>
      <c r="K54" s="58">
        <f t="shared" si="12"/>
        <v>12.18356727233283</v>
      </c>
      <c r="L54" t="s">
        <v>114</v>
      </c>
    </row>
    <row r="55" spans="1:12" x14ac:dyDescent="0.2">
      <c r="A55" s="79"/>
      <c r="B55" s="80"/>
      <c r="C55" s="81"/>
      <c r="D55" s="82" t="s">
        <v>141</v>
      </c>
      <c r="E55" s="321">
        <f>SUM(E4,E14,E43,E44,E52,E53,E54)</f>
        <v>0</v>
      </c>
      <c r="F55" s="321">
        <f>SUM(F4,F14,F43,F44,F52,F53,F54)</f>
        <v>0</v>
      </c>
      <c r="G55" s="321">
        <f>SUM(G4,G14,G43,G44,G52,G53,G54)</f>
        <v>69491752.710255489</v>
      </c>
      <c r="H55" s="321">
        <f>SUM(H4,H14,H43,H44,H52,H53,H54)</f>
        <v>76778957.334589019</v>
      </c>
      <c r="I55" s="321">
        <f>SUM(I54,I53,I52,I44,I43,I40,I39,I38,I14,I4)</f>
        <v>71241826.470510989</v>
      </c>
      <c r="J55" s="321">
        <f>SUM(J54,J53,J52,J44,J43,J40,J39,J38,J14,J4)</f>
        <v>78629122.20917803</v>
      </c>
      <c r="K55" s="83">
        <f t="shared" si="12"/>
        <v>100</v>
      </c>
    </row>
    <row r="57" spans="1:12" ht="15" x14ac:dyDescent="0.25">
      <c r="D57" s="322" t="s">
        <v>846</v>
      </c>
      <c r="E57" s="323">
        <f>แบบบันทึกแม่ข่าย!E89-ประมาณการรายได้!E55</f>
        <v>0</v>
      </c>
      <c r="F57" s="323">
        <f>แบบบันทึกแม่ข่าย!F89-ประมาณการรายได้!F55</f>
        <v>0</v>
      </c>
      <c r="G57" s="323">
        <f>แบบบันทึกลูกข่าย!E89-ประมาณการรายได้!G55</f>
        <v>0</v>
      </c>
      <c r="H57" s="323">
        <f>แบบบันทึกลูกข่าย!F89-ประมาณการรายได้!H55</f>
        <v>0</v>
      </c>
    </row>
    <row r="58" spans="1:12" ht="15" x14ac:dyDescent="0.25">
      <c r="D58" s="322" t="s">
        <v>847</v>
      </c>
    </row>
  </sheetData>
  <sheetProtection formatCells="0" formatColumns="0" formatRows="0" selectLockedCells="1" selectUnlockedCells="1"/>
  <mergeCells count="6">
    <mergeCell ref="A1:J1"/>
    <mergeCell ref="A2:A3"/>
    <mergeCell ref="B2:D3"/>
    <mergeCell ref="E2:F2"/>
    <mergeCell ref="G2:H2"/>
    <mergeCell ref="I2:J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66"/>
  <sheetViews>
    <sheetView zoomScale="110" zoomScaleNormal="110" workbookViewId="0">
      <pane xSplit="4" ySplit="3" topLeftCell="E50" activePane="bottomRight" state="frozen"/>
      <selection activeCell="E102" sqref="E102"/>
      <selection pane="topRight" activeCell="E102" sqref="E102"/>
      <selection pane="bottomLeft" activeCell="E102" sqref="E102"/>
      <selection pane="bottomRight" activeCell="E102" sqref="E102"/>
    </sheetView>
  </sheetViews>
  <sheetFormatPr defaultRowHeight="14.25" x14ac:dyDescent="0.2"/>
  <cols>
    <col min="1" max="1" width="5.375" style="84" customWidth="1"/>
    <col min="2" max="2" width="2.625" style="84" customWidth="1"/>
    <col min="3" max="3" width="2.375" style="84" customWidth="1"/>
    <col min="4" max="4" width="23.375" style="84" customWidth="1"/>
    <col min="5" max="5" width="13.875" style="85" bestFit="1" customWidth="1"/>
    <col min="6" max="6" width="14.875" style="85" bestFit="1" customWidth="1"/>
    <col min="7" max="7" width="13.5" style="85" bestFit="1" customWidth="1"/>
    <col min="8" max="8" width="14.875" style="85" bestFit="1" customWidth="1"/>
    <col min="9" max="9" width="13.875" style="85" bestFit="1" customWidth="1"/>
    <col min="10" max="10" width="14.875" style="85" bestFit="1" customWidth="1"/>
    <col min="11" max="11" width="12" style="50" customWidth="1"/>
  </cols>
  <sheetData>
    <row r="1" spans="1:14" ht="18" x14ac:dyDescent="0.25">
      <c r="A1" s="509" t="s">
        <v>1617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4" x14ac:dyDescent="0.2">
      <c r="A2" s="510" t="s">
        <v>0</v>
      </c>
      <c r="B2" s="512" t="s">
        <v>1</v>
      </c>
      <c r="C2" s="513"/>
      <c r="D2" s="514"/>
      <c r="E2" s="518" t="s">
        <v>129</v>
      </c>
      <c r="F2" s="519"/>
      <c r="G2" s="518" t="s">
        <v>144</v>
      </c>
      <c r="H2" s="519"/>
      <c r="I2" s="518" t="s">
        <v>151</v>
      </c>
      <c r="J2" s="519"/>
      <c r="K2" s="94" t="s">
        <v>131</v>
      </c>
      <c r="L2" t="s">
        <v>858</v>
      </c>
    </row>
    <row r="3" spans="1:14" x14ac:dyDescent="0.2">
      <c r="A3" s="511"/>
      <c r="B3" s="515"/>
      <c r="C3" s="516"/>
      <c r="D3" s="517"/>
      <c r="E3" s="95" t="s">
        <v>1618</v>
      </c>
      <c r="F3" s="95" t="s">
        <v>1616</v>
      </c>
      <c r="G3" s="95" t="s">
        <v>1618</v>
      </c>
      <c r="H3" s="95" t="s">
        <v>1616</v>
      </c>
      <c r="I3" s="95" t="s">
        <v>1618</v>
      </c>
      <c r="J3" s="95" t="s">
        <v>1616</v>
      </c>
      <c r="K3" s="96"/>
    </row>
    <row r="4" spans="1:14" x14ac:dyDescent="0.2">
      <c r="A4" s="97">
        <v>1</v>
      </c>
      <c r="B4" s="98" t="s">
        <v>13</v>
      </c>
      <c r="C4" s="98"/>
      <c r="D4" s="98"/>
      <c r="E4" s="326">
        <f t="shared" ref="E4:J4" si="0">SUM(E5,E15)</f>
        <v>0</v>
      </c>
      <c r="F4" s="326">
        <f t="shared" si="0"/>
        <v>0</v>
      </c>
      <c r="G4" s="326">
        <f t="shared" si="0"/>
        <v>54286396</v>
      </c>
      <c r="H4" s="326">
        <f t="shared" si="0"/>
        <v>56292878.879999995</v>
      </c>
      <c r="I4" s="326">
        <f t="shared" si="0"/>
        <v>54286396</v>
      </c>
      <c r="J4" s="326">
        <f t="shared" si="0"/>
        <v>56292878.879999995</v>
      </c>
      <c r="K4" s="58">
        <f t="shared" ref="K4:K35" si="1">J4*100/J$62</f>
        <v>73.272954461064515</v>
      </c>
      <c r="M4" t="s">
        <v>849</v>
      </c>
    </row>
    <row r="5" spans="1:14" x14ac:dyDescent="0.2">
      <c r="A5" s="99"/>
      <c r="B5" s="100"/>
      <c r="C5" s="101" t="s">
        <v>14</v>
      </c>
      <c r="D5" s="102"/>
      <c r="E5" s="327">
        <f t="shared" ref="E5:J5" si="2">SUM(E6:E14)</f>
        <v>0</v>
      </c>
      <c r="F5" s="327">
        <f t="shared" si="2"/>
        <v>0</v>
      </c>
      <c r="G5" s="327">
        <f t="shared" si="2"/>
        <v>40350060</v>
      </c>
      <c r="H5" s="327">
        <f t="shared" si="2"/>
        <v>42539458.399999999</v>
      </c>
      <c r="I5" s="327">
        <f t="shared" si="2"/>
        <v>40350060</v>
      </c>
      <c r="J5" s="327">
        <f t="shared" si="2"/>
        <v>42539458.399999999</v>
      </c>
      <c r="K5" s="103">
        <f t="shared" si="1"/>
        <v>55.370978712708322</v>
      </c>
    </row>
    <row r="6" spans="1:14" x14ac:dyDescent="0.2">
      <c r="A6" s="104"/>
      <c r="B6" s="105"/>
      <c r="C6" s="11" t="s">
        <v>1168</v>
      </c>
      <c r="D6" s="67"/>
      <c r="E6" s="308">
        <f>แบบบันทึกแม่ข่าย!E93</f>
        <v>0</v>
      </c>
      <c r="F6" s="308">
        <f>แบบบันทึกแม่ข่าย!F93</f>
        <v>0</v>
      </c>
      <c r="G6" s="308">
        <f>แบบบันทึกลูกข่าย!E93</f>
        <v>36173760</v>
      </c>
      <c r="H6" s="308">
        <f>แบบบันทึกลูกข่าย!F93</f>
        <v>38288620.399999999</v>
      </c>
      <c r="I6" s="328">
        <f t="shared" ref="I6:I14" si="3">E6+G6</f>
        <v>36173760</v>
      </c>
      <c r="J6" s="308">
        <f>H6+F6</f>
        <v>38288620.399999999</v>
      </c>
      <c r="K6" s="68">
        <f t="shared" si="1"/>
        <v>49.837926124310265</v>
      </c>
      <c r="L6" t="s">
        <v>119</v>
      </c>
    </row>
    <row r="7" spans="1:14" x14ac:dyDescent="0.2">
      <c r="A7" s="104"/>
      <c r="B7" s="105"/>
      <c r="C7" s="11" t="s">
        <v>53</v>
      </c>
      <c r="D7" s="67"/>
      <c r="E7" s="308">
        <f>แบบบันทึกแม่ข่าย!E94</f>
        <v>0</v>
      </c>
      <c r="F7" s="308">
        <f>แบบบันทึกแม่ข่าย!F94</f>
        <v>0</v>
      </c>
      <c r="G7" s="308">
        <f>แบบบันทึกลูกข่าย!E94</f>
        <v>924000</v>
      </c>
      <c r="H7" s="308">
        <f>แบบบันทึกลูกข่าย!F94</f>
        <v>966000</v>
      </c>
      <c r="I7" s="328">
        <f t="shared" si="3"/>
        <v>924000</v>
      </c>
      <c r="J7" s="308">
        <f t="shared" ref="J7:J42" si="4">H7+F7</f>
        <v>966000</v>
      </c>
      <c r="K7" s="68">
        <f t="shared" si="1"/>
        <v>1.2573823797548922</v>
      </c>
      <c r="L7" t="s">
        <v>119</v>
      </c>
    </row>
    <row r="8" spans="1:14" x14ac:dyDescent="0.2">
      <c r="A8" s="104"/>
      <c r="B8" s="105"/>
      <c r="C8" s="11" t="s">
        <v>1167</v>
      </c>
      <c r="D8" s="67"/>
      <c r="E8" s="308">
        <f>แบบบันทึกแม่ข่าย!E95</f>
        <v>0</v>
      </c>
      <c r="F8" s="308">
        <f>แบบบันทึกแม่ข่าย!F95</f>
        <v>0</v>
      </c>
      <c r="G8" s="308">
        <f>แบบบันทึกลูกข่าย!E95</f>
        <v>282300</v>
      </c>
      <c r="H8" s="308">
        <f>แบบบันทึกลูกข่าย!F95</f>
        <v>299238</v>
      </c>
      <c r="I8" s="328">
        <f t="shared" si="3"/>
        <v>282300</v>
      </c>
      <c r="J8" s="308">
        <f t="shared" si="4"/>
        <v>299238</v>
      </c>
      <c r="K8" s="68">
        <f t="shared" si="1"/>
        <v>0.38949957407152636</v>
      </c>
      <c r="L8" t="s">
        <v>119</v>
      </c>
    </row>
    <row r="9" spans="1:14" x14ac:dyDescent="0.2">
      <c r="A9" s="104"/>
      <c r="B9" s="105"/>
      <c r="C9" s="11" t="s">
        <v>1169</v>
      </c>
      <c r="D9" s="67"/>
      <c r="E9" s="308">
        <f>แบบบันทึกแม่ข่าย!E96</f>
        <v>0</v>
      </c>
      <c r="F9" s="308">
        <f>แบบบันทึกแม่ข่าย!F96</f>
        <v>0</v>
      </c>
      <c r="G9" s="308">
        <f>แบบบันทึกลูกข่าย!E96</f>
        <v>0</v>
      </c>
      <c r="H9" s="308">
        <f>แบบบันทึกลูกข่าย!F96</f>
        <v>0</v>
      </c>
      <c r="I9" s="328">
        <f t="shared" si="3"/>
        <v>0</v>
      </c>
      <c r="J9" s="308">
        <f t="shared" si="4"/>
        <v>0</v>
      </c>
      <c r="K9" s="68">
        <f t="shared" si="1"/>
        <v>0</v>
      </c>
      <c r="L9" t="s">
        <v>119</v>
      </c>
    </row>
    <row r="10" spans="1:14" x14ac:dyDescent="0.2">
      <c r="A10" s="104"/>
      <c r="B10" s="105"/>
      <c r="C10" s="11" t="s">
        <v>56</v>
      </c>
      <c r="D10" s="67"/>
      <c r="E10" s="308">
        <f>แบบบันทึกแม่ข่าย!E97</f>
        <v>0</v>
      </c>
      <c r="F10" s="308">
        <f>แบบบันทึกแม่ข่าย!F97</f>
        <v>0</v>
      </c>
      <c r="G10" s="308">
        <f>แบบบันทึกลูกข่าย!E97</f>
        <v>0</v>
      </c>
      <c r="H10" s="308">
        <f>แบบบันทึกลูกข่าย!F97</f>
        <v>0</v>
      </c>
      <c r="I10" s="328">
        <f t="shared" si="3"/>
        <v>0</v>
      </c>
      <c r="J10" s="308">
        <f t="shared" si="4"/>
        <v>0</v>
      </c>
      <c r="K10" s="68">
        <f t="shared" si="1"/>
        <v>0</v>
      </c>
      <c r="L10" t="s">
        <v>119</v>
      </c>
    </row>
    <row r="11" spans="1:14" x14ac:dyDescent="0.2">
      <c r="A11" s="104"/>
      <c r="B11" s="105"/>
      <c r="C11" s="11" t="s">
        <v>1159</v>
      </c>
      <c r="D11" s="67"/>
      <c r="E11" s="308">
        <f>แบบบันทึกแม่ข่าย!E98</f>
        <v>0</v>
      </c>
      <c r="F11" s="308">
        <f>แบบบันทึกแม่ข่าย!F98</f>
        <v>0</v>
      </c>
      <c r="G11" s="308">
        <f>แบบบันทึกลูกข่าย!E98</f>
        <v>2502000</v>
      </c>
      <c r="H11" s="308">
        <f>แบบบันทึกลูกข่าย!F98</f>
        <v>2502000</v>
      </c>
      <c r="I11" s="328">
        <f t="shared" si="3"/>
        <v>2502000</v>
      </c>
      <c r="J11" s="308">
        <f>H11+F11</f>
        <v>2502000</v>
      </c>
      <c r="K11" s="68">
        <f t="shared" si="1"/>
        <v>3.256698461849628</v>
      </c>
      <c r="L11" t="s">
        <v>121</v>
      </c>
    </row>
    <row r="12" spans="1:14" x14ac:dyDescent="0.2">
      <c r="A12" s="104"/>
      <c r="B12" s="105"/>
      <c r="C12" s="11" t="s">
        <v>1160</v>
      </c>
      <c r="D12" s="67"/>
      <c r="E12" s="308">
        <f>แบบบันทึกแม่ข่าย!E99</f>
        <v>0</v>
      </c>
      <c r="F12" s="308">
        <f>แบบบันทึกแม่ข่าย!F99</f>
        <v>0</v>
      </c>
      <c r="G12" s="308">
        <f>แบบบันทึกลูกข่าย!E99</f>
        <v>0</v>
      </c>
      <c r="H12" s="308">
        <f>แบบบันทึกลูกข่าย!F99</f>
        <v>0</v>
      </c>
      <c r="I12" s="328">
        <f t="shared" si="3"/>
        <v>0</v>
      </c>
      <c r="J12" s="308">
        <f>H12+F12</f>
        <v>0</v>
      </c>
      <c r="K12" s="68">
        <f t="shared" si="1"/>
        <v>0</v>
      </c>
      <c r="L12" t="s">
        <v>121</v>
      </c>
    </row>
    <row r="13" spans="1:14" x14ac:dyDescent="0.2">
      <c r="A13" s="104"/>
      <c r="B13" s="105"/>
      <c r="C13" s="11" t="s">
        <v>1161</v>
      </c>
      <c r="D13" s="67"/>
      <c r="E13" s="308">
        <f>แบบบันทึกแม่ข่าย!E100</f>
        <v>0</v>
      </c>
      <c r="F13" s="308">
        <f>แบบบันทึกแม่ข่าย!F100</f>
        <v>0</v>
      </c>
      <c r="G13" s="308">
        <f>แบบบันทึกลูกข่าย!E100</f>
        <v>468000</v>
      </c>
      <c r="H13" s="308">
        <f>แบบบันทึกลูกข่าย!F100</f>
        <v>483600</v>
      </c>
      <c r="I13" s="328">
        <f t="shared" si="3"/>
        <v>468000</v>
      </c>
      <c r="J13" s="308">
        <f>H13+F13</f>
        <v>483600</v>
      </c>
      <c r="K13" s="68">
        <f t="shared" si="1"/>
        <v>0.62947217272201439</v>
      </c>
      <c r="L13" t="s">
        <v>121</v>
      </c>
    </row>
    <row r="14" spans="1:14" x14ac:dyDescent="0.2">
      <c r="A14" s="104"/>
      <c r="B14" s="105"/>
      <c r="C14" s="11" t="s">
        <v>1177</v>
      </c>
      <c r="D14" s="67" t="s">
        <v>836</v>
      </c>
      <c r="E14" s="308">
        <f>แบบบันทึกแม่ข่าย!E101</f>
        <v>0</v>
      </c>
      <c r="F14" s="308">
        <f>แบบบันทึกแม่ข่าย!F101</f>
        <v>0</v>
      </c>
      <c r="G14" s="308">
        <f>แบบบันทึกลูกข่าย!E101</f>
        <v>0</v>
      </c>
      <c r="H14" s="308">
        <f>แบบบันทึกลูกข่าย!F101</f>
        <v>0</v>
      </c>
      <c r="I14" s="328">
        <f t="shared" si="3"/>
        <v>0</v>
      </c>
      <c r="J14" s="308">
        <f>H14+F14</f>
        <v>0</v>
      </c>
      <c r="K14" s="68">
        <f t="shared" si="1"/>
        <v>0</v>
      </c>
      <c r="L14" t="s">
        <v>122</v>
      </c>
    </row>
    <row r="15" spans="1:14" x14ac:dyDescent="0.2">
      <c r="A15" s="107"/>
      <c r="B15" s="108"/>
      <c r="C15" s="109" t="s">
        <v>20</v>
      </c>
      <c r="D15" s="72"/>
      <c r="E15" s="329">
        <f t="shared" ref="E15:J15" si="5">SUM(E16+E17+E18+E19+E23+E24)</f>
        <v>0</v>
      </c>
      <c r="F15" s="329">
        <f t="shared" si="5"/>
        <v>0</v>
      </c>
      <c r="G15" s="329">
        <f t="shared" si="5"/>
        <v>13936336</v>
      </c>
      <c r="H15" s="329">
        <f t="shared" si="5"/>
        <v>13753420.48</v>
      </c>
      <c r="I15" s="329">
        <f t="shared" si="5"/>
        <v>13936336</v>
      </c>
      <c r="J15" s="329">
        <f t="shared" si="5"/>
        <v>13753420.48</v>
      </c>
      <c r="K15" s="110">
        <f t="shared" si="1"/>
        <v>17.901975748356183</v>
      </c>
      <c r="N15">
        <v>40</v>
      </c>
    </row>
    <row r="16" spans="1:14" x14ac:dyDescent="0.2">
      <c r="A16" s="104"/>
      <c r="B16" s="105"/>
      <c r="C16" s="106"/>
      <c r="D16" s="67" t="s">
        <v>93</v>
      </c>
      <c r="E16" s="308">
        <f>แบบบันทึกแม่ข่าย!E103</f>
        <v>0</v>
      </c>
      <c r="F16" s="308">
        <f>แบบบันทึกแม่ข่าย!F103</f>
        <v>0</v>
      </c>
      <c r="G16" s="308">
        <f>แบบบันทึกลูกข่าย!E103</f>
        <v>732760</v>
      </c>
      <c r="H16" s="308">
        <f>แบบบันทึกลูกข่าย!F103</f>
        <v>762070.4</v>
      </c>
      <c r="I16" s="328">
        <f>E16+G16</f>
        <v>732760</v>
      </c>
      <c r="J16" s="308">
        <f t="shared" si="4"/>
        <v>762070.4</v>
      </c>
      <c r="K16" s="73">
        <f t="shared" si="1"/>
        <v>0.99193984792211454</v>
      </c>
      <c r="L16" t="s">
        <v>120</v>
      </c>
      <c r="N16" t="s">
        <v>852</v>
      </c>
    </row>
    <row r="17" spans="1:14" x14ac:dyDescent="0.2">
      <c r="A17" s="104"/>
      <c r="B17" s="105"/>
      <c r="C17" s="106"/>
      <c r="D17" s="67" t="s">
        <v>74</v>
      </c>
      <c r="E17" s="308">
        <f>แบบบันทึกแม่ข่าย!E104</f>
        <v>0</v>
      </c>
      <c r="F17" s="308">
        <f>แบบบันทึกแม่ข่าย!F104</f>
        <v>0</v>
      </c>
      <c r="G17" s="308">
        <f>แบบบันทึกลูกข่าย!E104</f>
        <v>8662680</v>
      </c>
      <c r="H17" s="308">
        <f>แบบบันทึกลูกข่าย!F104</f>
        <v>9009187.1999999993</v>
      </c>
      <c r="I17" s="328">
        <f>E17+G17</f>
        <v>8662680</v>
      </c>
      <c r="J17" s="308">
        <f>H17+F17</f>
        <v>9009187.1999999993</v>
      </c>
      <c r="K17" s="73">
        <f t="shared" si="1"/>
        <v>11.726701077839868</v>
      </c>
      <c r="L17" t="s">
        <v>120</v>
      </c>
      <c r="N17">
        <v>42</v>
      </c>
    </row>
    <row r="18" spans="1:14" x14ac:dyDescent="0.2">
      <c r="A18" s="104"/>
      <c r="B18" s="105"/>
      <c r="C18" s="106"/>
      <c r="D18" s="67" t="s">
        <v>145</v>
      </c>
      <c r="E18" s="308">
        <f>แบบบันทึกแม่ข่าย!E105</f>
        <v>0</v>
      </c>
      <c r="F18" s="308">
        <f>แบบบันทึกแม่ข่าย!F105</f>
        <v>0</v>
      </c>
      <c r="G18" s="308">
        <f>แบบบันทึกลูกข่าย!E105</f>
        <v>469772</v>
      </c>
      <c r="H18" s="308">
        <f>แบบบันทึกลูกข่าย!F105</f>
        <v>488562.88</v>
      </c>
      <c r="I18" s="328">
        <f>E18+G18</f>
        <v>469772</v>
      </c>
      <c r="J18" s="308">
        <f t="shared" si="4"/>
        <v>488562.88</v>
      </c>
      <c r="K18" s="73">
        <f t="shared" si="1"/>
        <v>0.63593204628809918</v>
      </c>
      <c r="L18" t="s">
        <v>122</v>
      </c>
      <c r="N18">
        <v>0.25694444444444448</v>
      </c>
    </row>
    <row r="19" spans="1:14" x14ac:dyDescent="0.2">
      <c r="A19" s="104"/>
      <c r="B19" s="105"/>
      <c r="C19" s="106"/>
      <c r="D19" s="324" t="s">
        <v>22</v>
      </c>
      <c r="E19" s="330">
        <f t="shared" ref="E19:J19" si="6">SUM(E20:E22)</f>
        <v>0</v>
      </c>
      <c r="F19" s="330">
        <f t="shared" si="6"/>
        <v>0</v>
      </c>
      <c r="G19" s="330">
        <f t="shared" si="6"/>
        <v>4071124</v>
      </c>
      <c r="H19" s="330">
        <f t="shared" si="6"/>
        <v>3493600</v>
      </c>
      <c r="I19" s="330">
        <f t="shared" si="6"/>
        <v>4071124</v>
      </c>
      <c r="J19" s="330">
        <f t="shared" si="6"/>
        <v>3493600</v>
      </c>
      <c r="K19" s="325">
        <f t="shared" si="1"/>
        <v>4.5474027763060993</v>
      </c>
      <c r="N19" t="s">
        <v>853</v>
      </c>
    </row>
    <row r="20" spans="1:14" x14ac:dyDescent="0.2">
      <c r="A20" s="104"/>
      <c r="B20" s="105"/>
      <c r="C20" s="106"/>
      <c r="D20" s="67" t="s">
        <v>23</v>
      </c>
      <c r="E20" s="308">
        <f>แบบบันทึกแม่ข่าย!E107</f>
        <v>0</v>
      </c>
      <c r="F20" s="308">
        <f>แบบบันทึกแม่ข่าย!F107</f>
        <v>0</v>
      </c>
      <c r="G20" s="308">
        <f>แบบบันทึกลูกข่าย!E107</f>
        <v>16000</v>
      </c>
      <c r="H20" s="308">
        <f>แบบบันทึกลูกข่าย!F107</f>
        <v>12000</v>
      </c>
      <c r="I20" s="328">
        <f t="shared" ref="I20:I26" si="7">E20+G20</f>
        <v>16000</v>
      </c>
      <c r="J20" s="308">
        <f t="shared" si="4"/>
        <v>12000</v>
      </c>
      <c r="K20" s="68">
        <f t="shared" si="1"/>
        <v>1.5619656891365121E-2</v>
      </c>
      <c r="L20" t="s">
        <v>121</v>
      </c>
      <c r="N20" t="s">
        <v>854</v>
      </c>
    </row>
    <row r="21" spans="1:14" x14ac:dyDescent="0.2">
      <c r="A21" s="104"/>
      <c r="B21" s="105"/>
      <c r="C21" s="106"/>
      <c r="D21" s="67" t="s">
        <v>721</v>
      </c>
      <c r="E21" s="308">
        <f>แบบบันทึกแม่ข่าย!E108+แบบบันทึกแม่ข่าย!E109</f>
        <v>0</v>
      </c>
      <c r="F21" s="308">
        <f>แบบบันทึกแม่ข่าย!F108+แบบบันทึกแม่ข่าย!F109</f>
        <v>0</v>
      </c>
      <c r="G21" s="308">
        <f>แบบบันทึกลูกข่าย!E108+แบบบันทึกลูกข่าย!E109</f>
        <v>1098000</v>
      </c>
      <c r="H21" s="308">
        <f>แบบบันทึกลูกข่าย!F108+แบบบันทึกลูกข่าย!F109</f>
        <v>1131600</v>
      </c>
      <c r="I21" s="328">
        <f t="shared" si="7"/>
        <v>1098000</v>
      </c>
      <c r="J21" s="308">
        <f t="shared" si="4"/>
        <v>1131600</v>
      </c>
      <c r="K21" s="68">
        <f t="shared" si="1"/>
        <v>1.4729336448557309</v>
      </c>
      <c r="L21" t="s">
        <v>121</v>
      </c>
      <c r="N21" t="s">
        <v>855</v>
      </c>
    </row>
    <row r="22" spans="1:14" x14ac:dyDescent="0.2">
      <c r="A22" s="104"/>
      <c r="B22" s="105"/>
      <c r="C22" s="106"/>
      <c r="D22" s="122" t="s">
        <v>75</v>
      </c>
      <c r="E22" s="308">
        <f>แบบบันทึกแม่ข่าย!E110</f>
        <v>0</v>
      </c>
      <c r="F22" s="308">
        <f>แบบบันทึกแม่ข่าย!F110</f>
        <v>0</v>
      </c>
      <c r="G22" s="308">
        <f>แบบบันทึกลูกข่าย!E110</f>
        <v>2957124</v>
      </c>
      <c r="H22" s="308">
        <f>แบบบันทึกลูกข่าย!F110</f>
        <v>2350000</v>
      </c>
      <c r="I22" s="328">
        <f t="shared" si="7"/>
        <v>2957124</v>
      </c>
      <c r="J22" s="308">
        <f t="shared" si="4"/>
        <v>2350000</v>
      </c>
      <c r="K22" s="68">
        <f t="shared" si="1"/>
        <v>3.0588494745590031</v>
      </c>
      <c r="L22" t="s">
        <v>121</v>
      </c>
      <c r="N22" t="s">
        <v>856</v>
      </c>
    </row>
    <row r="23" spans="1:14" x14ac:dyDescent="0.2">
      <c r="A23" s="104"/>
      <c r="B23" s="105"/>
      <c r="C23" s="106"/>
      <c r="D23" s="67" t="s">
        <v>24</v>
      </c>
      <c r="E23" s="308">
        <f>แบบบันทึกแม่ข่าย!E111</f>
        <v>0</v>
      </c>
      <c r="F23" s="308">
        <f>แบบบันทึกแม่ข่าย!F111</f>
        <v>0</v>
      </c>
      <c r="G23" s="308">
        <f>แบบบันทึกลูกข่าย!E111</f>
        <v>0</v>
      </c>
      <c r="H23" s="308">
        <f>แบบบันทึกลูกข่าย!F111</f>
        <v>0</v>
      </c>
      <c r="I23" s="331">
        <f t="shared" si="7"/>
        <v>0</v>
      </c>
      <c r="J23" s="308">
        <f t="shared" si="4"/>
        <v>0</v>
      </c>
      <c r="K23" s="73">
        <f t="shared" si="1"/>
        <v>0</v>
      </c>
      <c r="L23" t="s">
        <v>121</v>
      </c>
      <c r="N23">
        <v>30</v>
      </c>
    </row>
    <row r="24" spans="1:14" x14ac:dyDescent="0.2">
      <c r="A24" s="104"/>
      <c r="B24" s="105"/>
      <c r="C24" s="106"/>
      <c r="D24" s="67" t="s">
        <v>146</v>
      </c>
      <c r="E24" s="308">
        <f>แบบบันทึกแม่ข่าย!E112</f>
        <v>0</v>
      </c>
      <c r="F24" s="308">
        <f>แบบบันทึกแม่ข่าย!F112</f>
        <v>0</v>
      </c>
      <c r="G24" s="308">
        <f>แบบบันทึกลูกข่าย!E112</f>
        <v>0</v>
      </c>
      <c r="H24" s="308">
        <f>แบบบันทึกลูกข่าย!F112</f>
        <v>0</v>
      </c>
      <c r="I24" s="331">
        <f t="shared" si="7"/>
        <v>0</v>
      </c>
      <c r="J24" s="308">
        <f t="shared" si="4"/>
        <v>0</v>
      </c>
      <c r="K24" s="73">
        <f t="shared" si="1"/>
        <v>0</v>
      </c>
      <c r="L24" t="s">
        <v>123</v>
      </c>
      <c r="N24">
        <v>35</v>
      </c>
    </row>
    <row r="25" spans="1:14" x14ac:dyDescent="0.2">
      <c r="A25" s="97">
        <v>2</v>
      </c>
      <c r="B25" s="111" t="s">
        <v>25</v>
      </c>
      <c r="C25" s="112"/>
      <c r="D25" s="113"/>
      <c r="E25" s="326">
        <f>SUM(E26:E27)</f>
        <v>0</v>
      </c>
      <c r="F25" s="326">
        <f>SUM(F26:F27)</f>
        <v>0</v>
      </c>
      <c r="G25" s="326">
        <f>SUM(G26:G27)</f>
        <v>21530979.939256646</v>
      </c>
      <c r="H25" s="326">
        <f>SUM(H26:H27)</f>
        <v>20533392.551313296</v>
      </c>
      <c r="I25" s="326">
        <f t="shared" si="7"/>
        <v>21530979.939256646</v>
      </c>
      <c r="J25" s="305">
        <f t="shared" si="4"/>
        <v>20533392.551313296</v>
      </c>
      <c r="K25" s="58">
        <f t="shared" si="1"/>
        <v>26.727045538935496</v>
      </c>
      <c r="M25" t="s">
        <v>850</v>
      </c>
      <c r="N25">
        <v>56</v>
      </c>
    </row>
    <row r="26" spans="1:14" x14ac:dyDescent="0.2">
      <c r="A26" s="104"/>
      <c r="B26" s="361" t="s">
        <v>1235</v>
      </c>
      <c r="C26" s="106"/>
      <c r="D26" s="67"/>
      <c r="E26" s="331">
        <f>แบบบันทึกแม่ข่าย!E114</f>
        <v>0</v>
      </c>
      <c r="F26" s="331">
        <f>แบบบันทึกแม่ข่าย!F114</f>
        <v>0</v>
      </c>
      <c r="G26" s="331">
        <f>แบบบันทึกลูกข่าย!E114</f>
        <v>30000</v>
      </c>
      <c r="H26" s="331">
        <f>แบบบันทึกลูกข่าย!F114</f>
        <v>0</v>
      </c>
      <c r="I26" s="331">
        <f t="shared" si="7"/>
        <v>30000</v>
      </c>
      <c r="J26" s="331">
        <f>F26+H26</f>
        <v>0</v>
      </c>
      <c r="K26" s="73">
        <f t="shared" si="1"/>
        <v>0</v>
      </c>
      <c r="L26" t="s">
        <v>122</v>
      </c>
      <c r="N26" t="s">
        <v>857</v>
      </c>
    </row>
    <row r="27" spans="1:14" x14ac:dyDescent="0.2">
      <c r="A27" s="104"/>
      <c r="B27" s="114" t="s">
        <v>26</v>
      </c>
      <c r="C27" s="114"/>
      <c r="D27" s="72"/>
      <c r="E27" s="329">
        <f t="shared" ref="E27:J27" si="8">SUM(E28,E34,E39,E43,E44,E49,E54,E57,E60:E61)</f>
        <v>0</v>
      </c>
      <c r="F27" s="329">
        <f t="shared" si="8"/>
        <v>0</v>
      </c>
      <c r="G27" s="329">
        <f t="shared" si="8"/>
        <v>21500979.939256646</v>
      </c>
      <c r="H27" s="329">
        <f t="shared" si="8"/>
        <v>20533392.551313296</v>
      </c>
      <c r="I27" s="329">
        <f t="shared" si="8"/>
        <v>21500979.939256646</v>
      </c>
      <c r="J27" s="329">
        <f t="shared" si="8"/>
        <v>20533392.551313296</v>
      </c>
      <c r="K27" s="110">
        <f t="shared" si="1"/>
        <v>26.727045538935496</v>
      </c>
    </row>
    <row r="28" spans="1:14" x14ac:dyDescent="0.2">
      <c r="A28" s="104"/>
      <c r="B28" s="115">
        <v>2.1</v>
      </c>
      <c r="C28" s="116" t="s">
        <v>27</v>
      </c>
      <c r="D28" s="116"/>
      <c r="E28" s="329">
        <f t="shared" ref="E28:J28" si="9">SUM(E29:E33)</f>
        <v>0</v>
      </c>
      <c r="F28" s="329">
        <f t="shared" si="9"/>
        <v>0</v>
      </c>
      <c r="G28" s="329">
        <f t="shared" si="9"/>
        <v>4395887.9399999995</v>
      </c>
      <c r="H28" s="329">
        <f t="shared" si="9"/>
        <v>3388260</v>
      </c>
      <c r="I28" s="329">
        <f t="shared" si="9"/>
        <v>4395887.9399999995</v>
      </c>
      <c r="J28" s="329">
        <f t="shared" si="9"/>
        <v>3388260</v>
      </c>
      <c r="K28" s="110">
        <f t="shared" si="1"/>
        <v>4.410288221561399</v>
      </c>
    </row>
    <row r="29" spans="1:14" s="2" customFormat="1" x14ac:dyDescent="0.2">
      <c r="A29" s="25"/>
      <c r="B29" s="26"/>
      <c r="C29" s="31" t="s">
        <v>76</v>
      </c>
      <c r="D29" s="32"/>
      <c r="E29" s="308">
        <f>แบบบันทึกแม่ข่าย!E117</f>
        <v>0</v>
      </c>
      <c r="F29" s="308">
        <f>แบบบันทึกแม่ข่าย!F117</f>
        <v>0</v>
      </c>
      <c r="G29" s="308">
        <f>แบบบันทึกลูกข่าย!E117</f>
        <v>547396</v>
      </c>
      <c r="H29" s="308">
        <f>แบบบันทึกลูกข่าย!F117</f>
        <v>1025210</v>
      </c>
      <c r="I29" s="331">
        <f>E29+G29</f>
        <v>547396</v>
      </c>
      <c r="J29" s="308">
        <f>H29+F29</f>
        <v>1025210</v>
      </c>
      <c r="K29" s="68">
        <f t="shared" si="1"/>
        <v>1.3344523701330364</v>
      </c>
      <c r="L29" t="s">
        <v>121</v>
      </c>
    </row>
    <row r="30" spans="1:14" x14ac:dyDescent="0.2">
      <c r="A30" s="104"/>
      <c r="B30" s="105"/>
      <c r="C30" s="75" t="s">
        <v>28</v>
      </c>
      <c r="D30" s="117"/>
      <c r="E30" s="308">
        <f>แบบบันทึกแม่ข่าย!E118</f>
        <v>0</v>
      </c>
      <c r="F30" s="308">
        <f>แบบบันทึกแม่ข่าย!F118</f>
        <v>0</v>
      </c>
      <c r="G30" s="308">
        <f>แบบบันทึกลูกข่าย!E118</f>
        <v>1133818</v>
      </c>
      <c r="H30" s="308">
        <f>แบบบันทึกลูกข่าย!F118</f>
        <v>1180000</v>
      </c>
      <c r="I30" s="331">
        <f>E30+G30</f>
        <v>1133818</v>
      </c>
      <c r="J30" s="308">
        <f>H30+F30</f>
        <v>1180000</v>
      </c>
      <c r="K30" s="68">
        <f t="shared" si="1"/>
        <v>1.5359329276509035</v>
      </c>
      <c r="L30" t="s">
        <v>123</v>
      </c>
    </row>
    <row r="31" spans="1:14" x14ac:dyDescent="0.2">
      <c r="A31" s="104"/>
      <c r="B31" s="105"/>
      <c r="C31" s="75" t="s">
        <v>147</v>
      </c>
      <c r="D31" s="118"/>
      <c r="E31" s="308">
        <f>แบบบันทึกแม่ข่าย!E119</f>
        <v>0</v>
      </c>
      <c r="F31" s="308">
        <f>แบบบันทึกแม่ข่าย!F119</f>
        <v>0</v>
      </c>
      <c r="G31" s="308">
        <f>แบบบันทึกลูกข่าย!E119</f>
        <v>2712673.94</v>
      </c>
      <c r="H31" s="308">
        <f>แบบบันทึกลูกข่าย!F119</f>
        <v>1171050</v>
      </c>
      <c r="I31" s="331">
        <f>E31+G31</f>
        <v>2712673.94</v>
      </c>
      <c r="J31" s="308">
        <f>H31+F31</f>
        <v>1171050</v>
      </c>
      <c r="K31" s="73">
        <f t="shared" si="1"/>
        <v>1.5242832668860937</v>
      </c>
      <c r="L31" t="s">
        <v>123</v>
      </c>
    </row>
    <row r="32" spans="1:14" x14ac:dyDescent="0.2">
      <c r="A32" s="104"/>
      <c r="B32" s="119"/>
      <c r="C32" s="167" t="s">
        <v>1190</v>
      </c>
      <c r="E32" s="308">
        <f>แบบบันทึกแม่ข่าย!E122</f>
        <v>0</v>
      </c>
      <c r="F32" s="308">
        <f>แบบบันทึกแม่ข่าย!F122</f>
        <v>0</v>
      </c>
      <c r="G32" s="308">
        <f>แบบบันทึกลูกข่าย!E122</f>
        <v>0</v>
      </c>
      <c r="H32" s="308">
        <f>แบบบันทึกลูกข่าย!F122</f>
        <v>0</v>
      </c>
      <c r="I32" s="331">
        <f>E32+G32</f>
        <v>0</v>
      </c>
      <c r="J32" s="308">
        <f>H32+F32</f>
        <v>0</v>
      </c>
      <c r="K32" s="73">
        <f t="shared" si="1"/>
        <v>0</v>
      </c>
      <c r="L32" t="s">
        <v>123</v>
      </c>
    </row>
    <row r="33" spans="1:12" x14ac:dyDescent="0.2">
      <c r="A33" s="104"/>
      <c r="B33" s="119"/>
      <c r="C33" s="120" t="s">
        <v>848</v>
      </c>
      <c r="E33" s="308">
        <f>แบบบันทึกแม่ข่าย!E123+แบบบันทึกแม่ข่าย!E124</f>
        <v>0</v>
      </c>
      <c r="F33" s="308">
        <f>แบบบันทึกแม่ข่าย!F123+แบบบันทึกแม่ข่าย!F124</f>
        <v>0</v>
      </c>
      <c r="G33" s="308">
        <f>แบบบันทึกลูกข่าย!E123+แบบบันทึกลูกข่าย!E124</f>
        <v>2000</v>
      </c>
      <c r="H33" s="308">
        <f>แบบบันทึกลูกข่าย!F123+แบบบันทึกลูกข่าย!F124</f>
        <v>12000</v>
      </c>
      <c r="I33" s="331">
        <f>E33+G33</f>
        <v>2000</v>
      </c>
      <c r="J33" s="308">
        <f>H33+F33</f>
        <v>12000</v>
      </c>
      <c r="K33" s="73">
        <f t="shared" si="1"/>
        <v>1.5619656891365121E-2</v>
      </c>
      <c r="L33" t="s">
        <v>123</v>
      </c>
    </row>
    <row r="34" spans="1:12" x14ac:dyDescent="0.2">
      <c r="A34" s="104"/>
      <c r="B34" s="115">
        <v>2.2000000000000002</v>
      </c>
      <c r="C34" s="116" t="s">
        <v>30</v>
      </c>
      <c r="D34" s="116"/>
      <c r="E34" s="329">
        <f t="shared" ref="E34:J34" si="10">SUM(E35:E38)</f>
        <v>0</v>
      </c>
      <c r="F34" s="329">
        <f t="shared" si="10"/>
        <v>0</v>
      </c>
      <c r="G34" s="329">
        <f t="shared" si="10"/>
        <v>1033997.8</v>
      </c>
      <c r="H34" s="329">
        <f t="shared" si="10"/>
        <v>1096343.6000000001</v>
      </c>
      <c r="I34" s="329">
        <f t="shared" si="10"/>
        <v>1033997.8</v>
      </c>
      <c r="J34" s="329">
        <f t="shared" si="10"/>
        <v>1096343.6000000001</v>
      </c>
      <c r="K34" s="110">
        <f t="shared" si="1"/>
        <v>1.4270425722536708</v>
      </c>
    </row>
    <row r="35" spans="1:12" x14ac:dyDescent="0.2">
      <c r="A35" s="104"/>
      <c r="B35" s="105"/>
      <c r="C35" s="75" t="s">
        <v>31</v>
      </c>
      <c r="D35" s="75"/>
      <c r="E35" s="308">
        <f>แบบบันทึกแม่ข่าย!E126</f>
        <v>0</v>
      </c>
      <c r="F35" s="308">
        <f>แบบบันทึกแม่ข่าย!F126</f>
        <v>0</v>
      </c>
      <c r="G35" s="308">
        <f>แบบบันทึกลูกข่าย!E126</f>
        <v>850169.56</v>
      </c>
      <c r="H35" s="308">
        <f>แบบบันทึกลูกข่าย!F126</f>
        <v>923000</v>
      </c>
      <c r="I35" s="331">
        <f>E35+G35</f>
        <v>850169.56</v>
      </c>
      <c r="J35" s="308">
        <f t="shared" si="4"/>
        <v>923000</v>
      </c>
      <c r="K35" s="73">
        <f t="shared" si="1"/>
        <v>1.2014119425608338</v>
      </c>
      <c r="L35" t="s">
        <v>124</v>
      </c>
    </row>
    <row r="36" spans="1:12" x14ac:dyDescent="0.2">
      <c r="A36" s="104"/>
      <c r="B36" s="105"/>
      <c r="C36" s="75" t="s">
        <v>32</v>
      </c>
      <c r="D36" s="75"/>
      <c r="E36" s="308">
        <f>แบบบันทึกแม่ข่าย!E127</f>
        <v>0</v>
      </c>
      <c r="F36" s="308">
        <f>แบบบันทึกแม่ข่าย!F127</f>
        <v>0</v>
      </c>
      <c r="G36" s="308">
        <f>แบบบันทึกลูกข่าย!E127</f>
        <v>48834.46</v>
      </c>
      <c r="H36" s="308">
        <f>แบบบันทึกลูกข่าย!F127</f>
        <v>29000</v>
      </c>
      <c r="I36" s="331">
        <f>E36+G36</f>
        <v>48834.46</v>
      </c>
      <c r="J36" s="308">
        <f t="shared" si="4"/>
        <v>29000</v>
      </c>
      <c r="K36" s="73">
        <f t="shared" ref="K36:K57" si="11">J36*100/J$62</f>
        <v>3.7747504154132375E-2</v>
      </c>
      <c r="L36" t="s">
        <v>124</v>
      </c>
    </row>
    <row r="37" spans="1:12" x14ac:dyDescent="0.2">
      <c r="A37" s="104"/>
      <c r="B37" s="105"/>
      <c r="C37" s="75" t="s">
        <v>33</v>
      </c>
      <c r="D37" s="75"/>
      <c r="E37" s="308">
        <f>แบบบันทึกแม่ข่าย!E128</f>
        <v>0</v>
      </c>
      <c r="F37" s="308">
        <f>แบบบันทึกแม่ข่าย!F128</f>
        <v>0</v>
      </c>
      <c r="G37" s="308">
        <f>แบบบันทึกลูกข่าย!E128</f>
        <v>134993.78</v>
      </c>
      <c r="H37" s="308">
        <f>แบบบันทึกลูกข่าย!F128</f>
        <v>144343.6</v>
      </c>
      <c r="I37" s="331">
        <f>E37+G37</f>
        <v>134993.78</v>
      </c>
      <c r="J37" s="308">
        <f t="shared" si="4"/>
        <v>144343.6</v>
      </c>
      <c r="K37" s="73">
        <f t="shared" si="11"/>
        <v>0.1878831255387042</v>
      </c>
      <c r="L37" t="s">
        <v>124</v>
      </c>
    </row>
    <row r="38" spans="1:12" x14ac:dyDescent="0.2">
      <c r="A38" s="104"/>
      <c r="B38" s="105"/>
      <c r="C38" s="75" t="s">
        <v>34</v>
      </c>
      <c r="D38" s="75"/>
      <c r="E38" s="308">
        <f>แบบบันทึกแม่ข่าย!E129</f>
        <v>0</v>
      </c>
      <c r="F38" s="308">
        <f>แบบบันทึกแม่ข่าย!F129</f>
        <v>0</v>
      </c>
      <c r="G38" s="308">
        <f>แบบบันทึกลูกข่าย!E129</f>
        <v>0</v>
      </c>
      <c r="H38" s="308">
        <f>แบบบันทึกลูกข่าย!F129</f>
        <v>0</v>
      </c>
      <c r="I38" s="331">
        <f>E38+G38</f>
        <v>0</v>
      </c>
      <c r="J38" s="308">
        <f t="shared" si="4"/>
        <v>0</v>
      </c>
      <c r="K38" s="73">
        <f t="shared" si="11"/>
        <v>0</v>
      </c>
      <c r="L38" t="s">
        <v>124</v>
      </c>
    </row>
    <row r="39" spans="1:12" x14ac:dyDescent="0.2">
      <c r="A39" s="104"/>
      <c r="B39" s="115">
        <v>2.2999999999999998</v>
      </c>
      <c r="C39" s="116" t="s">
        <v>35</v>
      </c>
      <c r="D39" s="116"/>
      <c r="E39" s="329">
        <f t="shared" ref="E39:J39" si="12">SUM(E40:E42)</f>
        <v>0</v>
      </c>
      <c r="F39" s="329">
        <f t="shared" si="12"/>
        <v>0</v>
      </c>
      <c r="G39" s="329">
        <f t="shared" si="12"/>
        <v>2386908.0699999998</v>
      </c>
      <c r="H39" s="329">
        <f t="shared" si="12"/>
        <v>1982200</v>
      </c>
      <c r="I39" s="329">
        <f t="shared" si="12"/>
        <v>2386908.0699999998</v>
      </c>
      <c r="J39" s="329">
        <f t="shared" si="12"/>
        <v>1982200</v>
      </c>
      <c r="K39" s="110">
        <f t="shared" si="11"/>
        <v>2.580106990838662</v>
      </c>
    </row>
    <row r="40" spans="1:12" x14ac:dyDescent="0.2">
      <c r="A40" s="104"/>
      <c r="B40" s="105"/>
      <c r="C40" s="75" t="s">
        <v>36</v>
      </c>
      <c r="D40" s="75"/>
      <c r="E40" s="308">
        <f>แบบบันทึกแม่ข่าย!E131</f>
        <v>0</v>
      </c>
      <c r="F40" s="308">
        <f>แบบบันทึกแม่ข่าย!F131</f>
        <v>0</v>
      </c>
      <c r="G40" s="308">
        <f>แบบบันทึกลูกข่าย!E131</f>
        <v>884066.22</v>
      </c>
      <c r="H40" s="308">
        <f>แบบบันทึกลูกข่าย!F131</f>
        <v>863000</v>
      </c>
      <c r="I40" s="331">
        <f>E40+G40</f>
        <v>884066.22</v>
      </c>
      <c r="J40" s="308">
        <f t="shared" si="4"/>
        <v>863000</v>
      </c>
      <c r="K40" s="73">
        <f t="shared" si="11"/>
        <v>1.1233136581040084</v>
      </c>
      <c r="L40" t="s">
        <v>125</v>
      </c>
    </row>
    <row r="41" spans="1:12" x14ac:dyDescent="0.2">
      <c r="A41" s="104"/>
      <c r="B41" s="105"/>
      <c r="C41" s="75" t="s">
        <v>37</v>
      </c>
      <c r="D41" s="75"/>
      <c r="E41" s="308">
        <f>แบบบันทึกแม่ข่าย!E133</f>
        <v>0</v>
      </c>
      <c r="F41" s="308">
        <f>แบบบันทึกแม่ข่าย!F133</f>
        <v>0</v>
      </c>
      <c r="G41" s="308">
        <f>แบบบันทึกลูกข่าย!E133</f>
        <v>170777.40999999997</v>
      </c>
      <c r="H41" s="308">
        <f>แบบบันทึกลูกข่าย!F133</f>
        <v>157000</v>
      </c>
      <c r="I41" s="331">
        <f>E41+G41</f>
        <v>170777.40999999997</v>
      </c>
      <c r="J41" s="308">
        <f t="shared" si="4"/>
        <v>157000</v>
      </c>
      <c r="K41" s="73">
        <f t="shared" si="11"/>
        <v>0.20435717766202702</v>
      </c>
      <c r="L41" t="s">
        <v>125</v>
      </c>
    </row>
    <row r="42" spans="1:12" x14ac:dyDescent="0.2">
      <c r="A42" s="104"/>
      <c r="B42" s="105"/>
      <c r="C42" s="75" t="s">
        <v>38</v>
      </c>
      <c r="D42" s="75"/>
      <c r="E42" s="308">
        <f>SUM(แบบบันทึกแม่ข่าย!E132,แบบบันทึกแม่ข่าย!E134:E141)</f>
        <v>0</v>
      </c>
      <c r="F42" s="308">
        <f>SUM(แบบบันทึกแม่ข่าย!F132,แบบบันทึกแม่ข่าย!F134:F141)</f>
        <v>0</v>
      </c>
      <c r="G42" s="308">
        <f>SUM(แบบบันทึกลูกข่าย!E132,แบบบันทึกลูกข่าย!E134:E141)</f>
        <v>1332064.44</v>
      </c>
      <c r="H42" s="308">
        <f>SUM(แบบบันทึกลูกข่าย!F132,แบบบันทึกลูกข่าย!F134:F141)</f>
        <v>962200</v>
      </c>
      <c r="I42" s="331">
        <f>E42+G42</f>
        <v>1332064.44</v>
      </c>
      <c r="J42" s="308">
        <f t="shared" si="4"/>
        <v>962200</v>
      </c>
      <c r="K42" s="73">
        <f t="shared" si="11"/>
        <v>1.2524361550726266</v>
      </c>
      <c r="L42" t="s">
        <v>125</v>
      </c>
    </row>
    <row r="43" spans="1:12" x14ac:dyDescent="0.2">
      <c r="A43" s="104"/>
      <c r="B43" s="115">
        <v>2.4</v>
      </c>
      <c r="C43" s="109" t="s">
        <v>1214</v>
      </c>
      <c r="D43" s="116"/>
      <c r="E43" s="329">
        <f>แบบบันทึกแม่ข่าย!E142</f>
        <v>0</v>
      </c>
      <c r="F43" s="329">
        <f>แบบบันทึกแม่ข่าย!F142</f>
        <v>0</v>
      </c>
      <c r="G43" s="329">
        <f>แบบบันทึกลูกข่าย!E142</f>
        <v>203440</v>
      </c>
      <c r="H43" s="329">
        <f>แบบบันทึกลูกข่าย!F142</f>
        <v>203100</v>
      </c>
      <c r="I43" s="329">
        <f>E43+G43</f>
        <v>203440</v>
      </c>
      <c r="J43" s="329">
        <f>H43+F43</f>
        <v>203100</v>
      </c>
      <c r="K43" s="110">
        <f t="shared" si="11"/>
        <v>0.26436269288635467</v>
      </c>
      <c r="L43" t="s">
        <v>125</v>
      </c>
    </row>
    <row r="44" spans="1:12" x14ac:dyDescent="0.2">
      <c r="A44" s="104"/>
      <c r="B44" s="115">
        <v>2.4</v>
      </c>
      <c r="C44" s="109" t="s">
        <v>39</v>
      </c>
      <c r="D44" s="116"/>
      <c r="E44" s="329">
        <f t="shared" ref="E44:J44" si="13">SUM(E45:E48)</f>
        <v>0</v>
      </c>
      <c r="F44" s="329">
        <f t="shared" si="13"/>
        <v>0</v>
      </c>
      <c r="G44" s="329">
        <f t="shared" si="13"/>
        <v>7955468.3936000001</v>
      </c>
      <c r="H44" s="329">
        <f t="shared" si="13"/>
        <v>8328529</v>
      </c>
      <c r="I44" s="329">
        <f t="shared" si="13"/>
        <v>7955468.3936000001</v>
      </c>
      <c r="J44" s="329">
        <f t="shared" si="13"/>
        <v>8328529</v>
      </c>
      <c r="K44" s="110">
        <f t="shared" si="11"/>
        <v>10.840730449148689</v>
      </c>
    </row>
    <row r="45" spans="1:12" x14ac:dyDescent="0.2">
      <c r="A45" s="104"/>
      <c r="B45" s="105"/>
      <c r="C45" s="75" t="s">
        <v>40</v>
      </c>
      <c r="D45" s="75"/>
      <c r="E45" s="308">
        <f>แบบบันทึกแม่ข่าย!E145</f>
        <v>0</v>
      </c>
      <c r="F45" s="308">
        <f>แบบบันทึกแม่ข่าย!F145</f>
        <v>0</v>
      </c>
      <c r="G45" s="308">
        <f>แบบบันทึกลูกข่าย!E145</f>
        <v>6501825.6415999997</v>
      </c>
      <c r="H45" s="308">
        <f>แบบบันทึกลูกข่าย!F145</f>
        <v>6981089</v>
      </c>
      <c r="I45" s="331">
        <f>E45+G45</f>
        <v>6501825.6415999997</v>
      </c>
      <c r="J45" s="308">
        <f>H45+F45</f>
        <v>6981089</v>
      </c>
      <c r="K45" s="73">
        <f t="shared" si="11"/>
        <v>9.0868512423402699</v>
      </c>
      <c r="L45" t="s">
        <v>116</v>
      </c>
    </row>
    <row r="46" spans="1:12" x14ac:dyDescent="0.2">
      <c r="A46" s="104"/>
      <c r="B46" s="105"/>
      <c r="C46" s="75" t="s">
        <v>41</v>
      </c>
      <c r="D46" s="75"/>
      <c r="E46" s="308">
        <f>แบบบันทึกแม่ข่าย!E146</f>
        <v>0</v>
      </c>
      <c r="F46" s="308">
        <f>แบบบันทึกแม่ข่าย!F146</f>
        <v>0</v>
      </c>
      <c r="G46" s="308">
        <f>แบบบันทึกลูกข่าย!E146</f>
        <v>1242542.662</v>
      </c>
      <c r="H46" s="308">
        <f>แบบบันทึกลูกข่าย!F146</f>
        <v>1122990</v>
      </c>
      <c r="I46" s="331">
        <f>E46+G46</f>
        <v>1242542.662</v>
      </c>
      <c r="J46" s="308">
        <f>H46+F46</f>
        <v>1122990</v>
      </c>
      <c r="K46" s="73">
        <f t="shared" si="11"/>
        <v>1.4617265410361764</v>
      </c>
      <c r="L46" t="s">
        <v>117</v>
      </c>
    </row>
    <row r="47" spans="1:12" x14ac:dyDescent="0.2">
      <c r="A47" s="104"/>
      <c r="B47" s="105"/>
      <c r="C47" s="118" t="s">
        <v>42</v>
      </c>
      <c r="D47" s="75"/>
      <c r="E47" s="308">
        <f>แบบบันทึกแม่ข่าย!E147</f>
        <v>0</v>
      </c>
      <c r="F47" s="308">
        <f>แบบบันทึกแม่ข่าย!F147</f>
        <v>0</v>
      </c>
      <c r="G47" s="308">
        <f>แบบบันทึกลูกข่าย!E147</f>
        <v>0</v>
      </c>
      <c r="H47" s="308">
        <f>แบบบันทึกลูกข่าย!F147</f>
        <v>18365</v>
      </c>
      <c r="I47" s="331">
        <f>E47+G47</f>
        <v>0</v>
      </c>
      <c r="J47" s="308">
        <f>H47+F47</f>
        <v>18365</v>
      </c>
      <c r="K47" s="73">
        <f t="shared" si="11"/>
        <v>2.3904583234160039E-2</v>
      </c>
      <c r="L47" t="s">
        <v>118</v>
      </c>
    </row>
    <row r="48" spans="1:12" x14ac:dyDescent="0.2">
      <c r="A48" s="104"/>
      <c r="B48" s="105"/>
      <c r="C48" s="118" t="s">
        <v>43</v>
      </c>
      <c r="D48" s="75"/>
      <c r="E48" s="308">
        <f>แบบบันทึกแม่ข่าย!E148</f>
        <v>0</v>
      </c>
      <c r="F48" s="308">
        <f>แบบบันทึกแม่ข่าย!F148</f>
        <v>0</v>
      </c>
      <c r="G48" s="308">
        <f>แบบบันทึกลูกข่าย!E148</f>
        <v>211100.09</v>
      </c>
      <c r="H48" s="308">
        <f>แบบบันทึกลูกข่าย!F148</f>
        <v>206085</v>
      </c>
      <c r="I48" s="331">
        <f>E48+G48</f>
        <v>211100.09</v>
      </c>
      <c r="J48" s="308">
        <f>H48+F48</f>
        <v>206085</v>
      </c>
      <c r="K48" s="73">
        <f t="shared" si="11"/>
        <v>0.26824808253808174</v>
      </c>
      <c r="L48" t="s">
        <v>1097</v>
      </c>
    </row>
    <row r="49" spans="1:13" x14ac:dyDescent="0.2">
      <c r="A49" s="104"/>
      <c r="B49" s="115">
        <v>2.5</v>
      </c>
      <c r="C49" s="109" t="s">
        <v>44</v>
      </c>
      <c r="D49" s="116"/>
      <c r="E49" s="329">
        <f t="shared" ref="E49:J49" si="14">SUM(E50:E53)</f>
        <v>0</v>
      </c>
      <c r="F49" s="329">
        <f t="shared" si="14"/>
        <v>0</v>
      </c>
      <c r="G49" s="329">
        <f t="shared" si="14"/>
        <v>2884686</v>
      </c>
      <c r="H49" s="329">
        <f t="shared" si="14"/>
        <v>3000780</v>
      </c>
      <c r="I49" s="329">
        <f t="shared" si="14"/>
        <v>2884686</v>
      </c>
      <c r="J49" s="329">
        <f t="shared" si="14"/>
        <v>3000780</v>
      </c>
      <c r="K49" s="110">
        <f t="shared" si="11"/>
        <v>3.9059295005392189</v>
      </c>
    </row>
    <row r="50" spans="1:13" x14ac:dyDescent="0.2">
      <c r="A50" s="104"/>
      <c r="B50" s="105"/>
      <c r="C50" s="118" t="s">
        <v>45</v>
      </c>
      <c r="D50" s="75"/>
      <c r="E50" s="308">
        <f>แบบบันทึกแม่ข่าย!E150</f>
        <v>0</v>
      </c>
      <c r="F50" s="308">
        <f>แบบบันทึกแม่ข่าย!F150</f>
        <v>0</v>
      </c>
      <c r="G50" s="308">
        <f>แบบบันทึกลูกข่าย!E150</f>
        <v>2734686</v>
      </c>
      <c r="H50" s="308">
        <f>แบบบันทึกลูกข่าย!F150</f>
        <v>2850780</v>
      </c>
      <c r="I50" s="331">
        <f>E50+G50</f>
        <v>2734686</v>
      </c>
      <c r="J50" s="308">
        <f>H50+F50</f>
        <v>2850780</v>
      </c>
      <c r="K50" s="73">
        <f t="shared" si="11"/>
        <v>3.7106837893971552</v>
      </c>
      <c r="L50" t="s">
        <v>127</v>
      </c>
    </row>
    <row r="51" spans="1:13" x14ac:dyDescent="0.2">
      <c r="A51" s="104"/>
      <c r="B51" s="105"/>
      <c r="C51" s="118" t="s">
        <v>46</v>
      </c>
      <c r="D51" s="75"/>
      <c r="E51" s="308">
        <f>แบบบันทึกแม่ข่าย!E151</f>
        <v>0</v>
      </c>
      <c r="F51" s="308">
        <f>แบบบันทึกแม่ข่าย!F151</f>
        <v>0</v>
      </c>
      <c r="G51" s="308">
        <f>แบบบันทึกลูกข่าย!E151</f>
        <v>100000</v>
      </c>
      <c r="H51" s="308">
        <f>แบบบันทึกลูกข่าย!F151</f>
        <v>100000</v>
      </c>
      <c r="I51" s="331">
        <f>E51+G51</f>
        <v>100000</v>
      </c>
      <c r="J51" s="308">
        <f>H51+F51</f>
        <v>100000</v>
      </c>
      <c r="K51" s="73">
        <f t="shared" si="11"/>
        <v>0.13016380742804268</v>
      </c>
      <c r="L51" t="s">
        <v>127</v>
      </c>
    </row>
    <row r="52" spans="1:13" x14ac:dyDescent="0.2">
      <c r="A52" s="104"/>
      <c r="B52" s="105"/>
      <c r="C52" s="118" t="s">
        <v>47</v>
      </c>
      <c r="D52" s="75"/>
      <c r="E52" s="308">
        <f>แบบบันทึกแม่ข่าย!E152</f>
        <v>0</v>
      </c>
      <c r="F52" s="308">
        <f>แบบบันทึกแม่ข่าย!F152</f>
        <v>0</v>
      </c>
      <c r="G52" s="308">
        <f>แบบบันทึกลูกข่าย!E152</f>
        <v>50000</v>
      </c>
      <c r="H52" s="308">
        <f>แบบบันทึกลูกข่าย!F152</f>
        <v>50000</v>
      </c>
      <c r="I52" s="331">
        <f>E52+G52</f>
        <v>50000</v>
      </c>
      <c r="J52" s="308">
        <f>H52+F52</f>
        <v>50000</v>
      </c>
      <c r="K52" s="73">
        <f t="shared" si="11"/>
        <v>6.5081903714021339E-2</v>
      </c>
      <c r="L52" t="s">
        <v>127</v>
      </c>
    </row>
    <row r="53" spans="1:13" x14ac:dyDescent="0.2">
      <c r="A53" s="104"/>
      <c r="B53" s="105"/>
      <c r="C53" s="118" t="s">
        <v>48</v>
      </c>
      <c r="D53" s="75"/>
      <c r="E53" s="308">
        <f>แบบบันทึกแม่ข่าย!E153</f>
        <v>0</v>
      </c>
      <c r="F53" s="308">
        <f>แบบบันทึกแม่ข่าย!F153</f>
        <v>0</v>
      </c>
      <c r="G53" s="308">
        <f>แบบบันทึกลูกข่าย!E153</f>
        <v>0</v>
      </c>
      <c r="H53" s="308">
        <f>แบบบันทึกลูกข่าย!F153</f>
        <v>0</v>
      </c>
      <c r="I53" s="331">
        <f>E53+G53</f>
        <v>0</v>
      </c>
      <c r="J53" s="308">
        <f>H53+F53</f>
        <v>0</v>
      </c>
      <c r="K53" s="73">
        <f t="shared" si="11"/>
        <v>0</v>
      </c>
      <c r="L53" t="s">
        <v>127</v>
      </c>
    </row>
    <row r="54" spans="1:13" x14ac:dyDescent="0.2">
      <c r="A54" s="104"/>
      <c r="B54" s="115">
        <v>2.6</v>
      </c>
      <c r="C54" s="116" t="s">
        <v>78</v>
      </c>
      <c r="D54" s="116"/>
      <c r="E54" s="329">
        <f t="shared" ref="E54:J54" si="15">SUM(E55:E56)</f>
        <v>0</v>
      </c>
      <c r="F54" s="329">
        <f t="shared" si="15"/>
        <v>0</v>
      </c>
      <c r="G54" s="329">
        <f t="shared" si="15"/>
        <v>0</v>
      </c>
      <c r="H54" s="329">
        <f t="shared" si="15"/>
        <v>0</v>
      </c>
      <c r="I54" s="329">
        <f t="shared" si="15"/>
        <v>0</v>
      </c>
      <c r="J54" s="329">
        <f t="shared" si="15"/>
        <v>0</v>
      </c>
      <c r="K54" s="110">
        <f t="shared" si="11"/>
        <v>0</v>
      </c>
    </row>
    <row r="55" spans="1:13" x14ac:dyDescent="0.2">
      <c r="A55" s="104"/>
      <c r="B55" s="123"/>
      <c r="C55" s="118" t="s">
        <v>65</v>
      </c>
      <c r="D55" s="75"/>
      <c r="E55" s="308">
        <f>แบบบันทึกแม่ข่าย!E155</f>
        <v>0</v>
      </c>
      <c r="F55" s="308">
        <f>แบบบันทึกแม่ข่าย!F155</f>
        <v>0</v>
      </c>
      <c r="G55" s="332">
        <f>แบบบันทึกลูกข่าย!E155</f>
        <v>0</v>
      </c>
      <c r="H55" s="332">
        <f>แบบบันทึกลูกข่าย!F155</f>
        <v>0</v>
      </c>
      <c r="I55" s="331">
        <f>E55</f>
        <v>0</v>
      </c>
      <c r="J55" s="331">
        <f>F55</f>
        <v>0</v>
      </c>
      <c r="K55" s="73">
        <f t="shared" si="11"/>
        <v>0</v>
      </c>
      <c r="L55" t="s">
        <v>127</v>
      </c>
    </row>
    <row r="56" spans="1:13" x14ac:dyDescent="0.2">
      <c r="A56" s="104"/>
      <c r="B56" s="105"/>
      <c r="C56" s="118" t="s">
        <v>66</v>
      </c>
      <c r="D56" s="75"/>
      <c r="E56" s="308">
        <f>แบบบันทึกแม่ข่าย!E156+แบบบันทึกแม่ข่าย!E157</f>
        <v>0</v>
      </c>
      <c r="F56" s="308">
        <f>แบบบันทึกแม่ข่าย!F156+แบบบันทึกแม่ข่าย!F157</f>
        <v>0</v>
      </c>
      <c r="G56" s="332" t="s">
        <v>150</v>
      </c>
      <c r="H56" s="332" t="s">
        <v>150</v>
      </c>
      <c r="I56" s="331">
        <f>E56</f>
        <v>0</v>
      </c>
      <c r="J56" s="331">
        <f>F56</f>
        <v>0</v>
      </c>
      <c r="K56" s="73">
        <f t="shared" si="11"/>
        <v>0</v>
      </c>
      <c r="L56" t="s">
        <v>127</v>
      </c>
    </row>
    <row r="57" spans="1:13" x14ac:dyDescent="0.2">
      <c r="A57" s="104"/>
      <c r="B57" s="115">
        <v>2.6</v>
      </c>
      <c r="C57" s="116" t="s">
        <v>49</v>
      </c>
      <c r="D57" s="116"/>
      <c r="E57" s="329">
        <f t="shared" ref="E57:J57" si="16">SUM(E58:E59)</f>
        <v>0</v>
      </c>
      <c r="F57" s="329">
        <f t="shared" si="16"/>
        <v>0</v>
      </c>
      <c r="G57" s="329">
        <f t="shared" si="16"/>
        <v>0</v>
      </c>
      <c r="H57" s="329">
        <f t="shared" si="16"/>
        <v>0</v>
      </c>
      <c r="I57" s="329">
        <f t="shared" si="16"/>
        <v>0</v>
      </c>
      <c r="J57" s="329">
        <f t="shared" si="16"/>
        <v>0</v>
      </c>
      <c r="K57" s="110">
        <f t="shared" si="11"/>
        <v>0</v>
      </c>
    </row>
    <row r="58" spans="1:13" x14ac:dyDescent="0.2">
      <c r="A58" s="104"/>
      <c r="B58" s="123"/>
      <c r="C58" s="118" t="s">
        <v>1228</v>
      </c>
      <c r="D58" s="75"/>
      <c r="E58" s="332">
        <f>แบบบันทึกแม่ข่าย!E159</f>
        <v>0</v>
      </c>
      <c r="F58" s="332">
        <f>แบบบันทึกแม่ข่าย!F159</f>
        <v>0</v>
      </c>
      <c r="G58" s="332" t="s">
        <v>150</v>
      </c>
      <c r="H58" s="332" t="s">
        <v>150</v>
      </c>
      <c r="I58" s="333">
        <f>E58</f>
        <v>0</v>
      </c>
      <c r="J58" s="332">
        <f>F58</f>
        <v>0</v>
      </c>
      <c r="K58" s="231">
        <f>J58*100/J$62</f>
        <v>0</v>
      </c>
      <c r="L58" t="s">
        <v>127</v>
      </c>
    </row>
    <row r="59" spans="1:13" x14ac:dyDescent="0.2">
      <c r="A59" s="104"/>
      <c r="B59" s="105"/>
      <c r="C59" s="118" t="s">
        <v>49</v>
      </c>
      <c r="D59" s="75"/>
      <c r="E59" s="332">
        <f>แบบบันทึกแม่ข่าย!E160</f>
        <v>0</v>
      </c>
      <c r="F59" s="332">
        <f>แบบบันทึกแม่ข่าย!F160</f>
        <v>0</v>
      </c>
      <c r="G59" s="332">
        <f>แบบบันทึกลูกข่าย!E160</f>
        <v>0</v>
      </c>
      <c r="H59" s="332">
        <f>แบบบันทึกลูกข่าย!F160</f>
        <v>0</v>
      </c>
      <c r="I59" s="333">
        <f>E59</f>
        <v>0</v>
      </c>
      <c r="J59" s="332">
        <f>F59</f>
        <v>0</v>
      </c>
      <c r="K59" s="231">
        <f>J59*100/J$62</f>
        <v>0</v>
      </c>
      <c r="L59" t="s">
        <v>127</v>
      </c>
    </row>
    <row r="60" spans="1:13" x14ac:dyDescent="0.2">
      <c r="A60" s="97">
        <v>3</v>
      </c>
      <c r="B60" s="162" t="s">
        <v>840</v>
      </c>
      <c r="C60" s="121"/>
      <c r="D60" s="78"/>
      <c r="E60" s="326">
        <f>แบบบันทึกแม่ข่าย!E161</f>
        <v>0</v>
      </c>
      <c r="F60" s="326">
        <f>แบบบันทึกแม่ข่าย!F161</f>
        <v>0</v>
      </c>
      <c r="G60" s="326">
        <f>แบบบันทึกลูกข่าย!E161</f>
        <v>2640591.735656647</v>
      </c>
      <c r="H60" s="326">
        <f>แบบบันทึกลูกข่าย!F161</f>
        <v>2534179.9513132935</v>
      </c>
      <c r="I60" s="334">
        <f>E60+G60</f>
        <v>2640591.735656647</v>
      </c>
      <c r="J60" s="334">
        <f>F60+H60</f>
        <v>2534179.9513132935</v>
      </c>
      <c r="K60" s="58">
        <f>J60*100/J$62</f>
        <v>3.2985851117075011</v>
      </c>
      <c r="L60" t="s">
        <v>126</v>
      </c>
      <c r="M60" t="s">
        <v>851</v>
      </c>
    </row>
    <row r="61" spans="1:13" x14ac:dyDescent="0.2">
      <c r="A61" s="126">
        <v>4</v>
      </c>
      <c r="B61" s="164" t="s">
        <v>716</v>
      </c>
      <c r="C61" s="127"/>
      <c r="D61" s="128"/>
      <c r="E61" s="318">
        <f>แบบบันทึกแม่ข่าย!E165</f>
        <v>0</v>
      </c>
      <c r="F61" s="318">
        <f>แบบบันทึกแม่ข่าย!F165</f>
        <v>0</v>
      </c>
      <c r="G61" s="318">
        <f>แบบบันทึกลูกข่าย!E165</f>
        <v>0</v>
      </c>
      <c r="H61" s="318">
        <f>แบบบันทึกลูกข่าย!F165</f>
        <v>0</v>
      </c>
      <c r="I61" s="334">
        <f>E61+G61</f>
        <v>0</v>
      </c>
      <c r="J61" s="334">
        <f>F61+H61</f>
        <v>0</v>
      </c>
      <c r="K61" s="129">
        <f>J61*100/J$62</f>
        <v>0</v>
      </c>
      <c r="L61" t="s">
        <v>127</v>
      </c>
    </row>
    <row r="62" spans="1:13" x14ac:dyDescent="0.2">
      <c r="A62" s="130"/>
      <c r="B62" s="131"/>
      <c r="C62" s="132"/>
      <c r="D62" s="133" t="s">
        <v>77</v>
      </c>
      <c r="E62" s="335">
        <f>SUM(E4+E25)</f>
        <v>0</v>
      </c>
      <c r="F62" s="335">
        <f>SUM(F4+F25)</f>
        <v>0</v>
      </c>
      <c r="G62" s="335">
        <f>SUM(G4+G25)</f>
        <v>75817375.939256638</v>
      </c>
      <c r="H62" s="335">
        <f>SUM(H25,H4)</f>
        <v>76826271.431313291</v>
      </c>
      <c r="I62" s="335">
        <f>SUM(I4+I25)</f>
        <v>75817375.939256638</v>
      </c>
      <c r="J62" s="335">
        <f>SUM(J4+J25)</f>
        <v>76826271.431313291</v>
      </c>
      <c r="K62" s="134">
        <f>J62*100/J$62</f>
        <v>100</v>
      </c>
    </row>
    <row r="63" spans="1:13" x14ac:dyDescent="0.2">
      <c r="E63" s="248"/>
      <c r="F63" s="336"/>
      <c r="G63" s="248"/>
      <c r="H63" s="336"/>
      <c r="I63" s="336"/>
      <c r="J63" s="248"/>
    </row>
    <row r="65" spans="2:8" ht="15" x14ac:dyDescent="0.25">
      <c r="B65" s="322" t="s">
        <v>846</v>
      </c>
      <c r="E65" s="323">
        <f>แบบบันทึกแม่ข่าย!E166-ประมาณการรายจ่าย!E62</f>
        <v>0</v>
      </c>
      <c r="F65" s="323">
        <f>แบบบันทึกแม่ข่าย!F166-ประมาณการรายจ่าย!F62</f>
        <v>0</v>
      </c>
      <c r="G65" s="323">
        <f>แบบบันทึกลูกข่าย!E166-ประมาณการรายจ่าย!G62</f>
        <v>0</v>
      </c>
      <c r="H65" s="323">
        <f>แบบบันทึกลูกข่าย!F166-ประมาณการรายจ่าย!H62</f>
        <v>0</v>
      </c>
    </row>
    <row r="66" spans="2:8" ht="15" x14ac:dyDescent="0.25">
      <c r="B66" s="322" t="s">
        <v>847</v>
      </c>
    </row>
  </sheetData>
  <sheetProtection formatCells="0" formatColumns="0" formatRows="0" selectLockedCells="1" selectUnlockedCells="1"/>
  <mergeCells count="6">
    <mergeCell ref="A1:K1"/>
    <mergeCell ref="A2:A3"/>
    <mergeCell ref="B2:D3"/>
    <mergeCell ref="E2:F2"/>
    <mergeCell ref="G2:H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76"/>
  <sheetViews>
    <sheetView topLeftCell="A52" zoomScaleNormal="100" workbookViewId="0">
      <selection activeCell="B65" sqref="B65"/>
    </sheetView>
  </sheetViews>
  <sheetFormatPr defaultRowHeight="14.25" x14ac:dyDescent="0.2"/>
  <cols>
    <col min="1" max="1" width="7" customWidth="1"/>
    <col min="2" max="2" width="31.625" customWidth="1"/>
    <col min="3" max="3" width="22" customWidth="1"/>
    <col min="4" max="4" width="5.125" customWidth="1"/>
    <col min="5" max="5" width="28.125" bestFit="1" customWidth="1"/>
    <col min="6" max="6" width="18.625" customWidth="1"/>
    <col min="7" max="7" width="2.875" customWidth="1"/>
    <col min="9" max="10" width="13.875" bestFit="1" customWidth="1"/>
  </cols>
  <sheetData>
    <row r="1" spans="1:10" x14ac:dyDescent="0.2">
      <c r="F1" s="35" t="s">
        <v>82</v>
      </c>
    </row>
    <row r="2" spans="1:10" ht="18" x14ac:dyDescent="0.2">
      <c r="B2" s="520" t="s">
        <v>1620</v>
      </c>
      <c r="C2" s="520"/>
      <c r="D2" s="520"/>
      <c r="E2" s="520"/>
      <c r="F2" s="520"/>
    </row>
    <row r="3" spans="1:10" ht="18" x14ac:dyDescent="0.2">
      <c r="B3" s="36" t="s">
        <v>129</v>
      </c>
      <c r="C3" s="37" t="s">
        <v>1619</v>
      </c>
      <c r="D3" s="37"/>
      <c r="E3" s="37"/>
      <c r="F3" s="37"/>
    </row>
    <row r="4" spans="1:10" x14ac:dyDescent="0.2">
      <c r="B4" s="521" t="s">
        <v>83</v>
      </c>
      <c r="C4" s="521"/>
      <c r="E4" s="521" t="s">
        <v>84</v>
      </c>
      <c r="F4" s="521"/>
    </row>
    <row r="5" spans="1:10" x14ac:dyDescent="0.2">
      <c r="A5" t="s">
        <v>106</v>
      </c>
      <c r="B5" s="45" t="s">
        <v>85</v>
      </c>
      <c r="C5" s="38">
        <f>SUMIF(ประมาณการรายได้!L$4:L$54,"P04",ประมาณการรายได้!F$4:F$54)</f>
        <v>0</v>
      </c>
      <c r="D5" s="39" t="s">
        <v>116</v>
      </c>
      <c r="E5" s="45" t="s">
        <v>86</v>
      </c>
      <c r="F5" s="38">
        <f>SUMIF(ประมาณการรายจ่าย!L$4:L$62,"P14",ประมาณการรายจ่าย!F$4:F$62)</f>
        <v>0</v>
      </c>
    </row>
    <row r="6" spans="1:10" x14ac:dyDescent="0.2">
      <c r="A6" t="s">
        <v>107</v>
      </c>
      <c r="B6" s="45" t="s">
        <v>87</v>
      </c>
      <c r="C6" s="38">
        <f>SUMIF(ประมาณการรายได้!L$4:L$54,"P05",ประมาณการรายได้!F$4:F$54)</f>
        <v>0</v>
      </c>
      <c r="D6" s="39" t="s">
        <v>117</v>
      </c>
      <c r="E6" s="45" t="s">
        <v>1096</v>
      </c>
      <c r="F6" s="38">
        <f>SUMIF(ประมาณการรายจ่าย!L$4:L$62,"P15",ประมาณการรายจ่าย!F$4:F$62)</f>
        <v>0</v>
      </c>
    </row>
    <row r="7" spans="1:10" x14ac:dyDescent="0.2">
      <c r="A7" t="s">
        <v>108</v>
      </c>
      <c r="B7" s="45" t="s">
        <v>88</v>
      </c>
      <c r="C7" s="38">
        <f>SUMIF(ประมาณการรายได้!L$4:L$54,"P06",ประมาณการรายได้!F$4:F$54)</f>
        <v>0</v>
      </c>
      <c r="D7" s="39" t="s">
        <v>1097</v>
      </c>
      <c r="E7" s="45" t="s">
        <v>1095</v>
      </c>
      <c r="F7" s="38">
        <f>SUMIF(ประมาณการรายจ่าย!L$4:L$62,"P15D",ประมาณการรายจ่าย!F$4:F$62)</f>
        <v>0</v>
      </c>
    </row>
    <row r="8" spans="1:10" x14ac:dyDescent="0.2">
      <c r="A8" t="s">
        <v>1094</v>
      </c>
      <c r="B8" s="45" t="s">
        <v>1093</v>
      </c>
      <c r="C8" s="38">
        <f>SUMIF(ประมาณการรายได้!L$4:L$54,"P07L",ประมาณการรายได้!F$4:F$54)</f>
        <v>0</v>
      </c>
      <c r="D8" s="39" t="s">
        <v>118</v>
      </c>
      <c r="E8" s="45" t="s">
        <v>89</v>
      </c>
      <c r="F8" s="38">
        <f>SUMIF(ประมาณการรายจ่าย!L$4:L$62,"P16",ประมาณการรายจ่าย!F$4:F$62)</f>
        <v>0</v>
      </c>
    </row>
    <row r="9" spans="1:10" x14ac:dyDescent="0.2">
      <c r="A9" t="s">
        <v>109</v>
      </c>
      <c r="B9" s="45" t="s">
        <v>90</v>
      </c>
      <c r="C9" s="38">
        <f>SUMIF(ประมาณการรายได้!L$4:L$54,"P07",ประมาณการรายได้!F$4:F$54)</f>
        <v>0</v>
      </c>
      <c r="D9" s="39" t="s">
        <v>119</v>
      </c>
      <c r="E9" s="45" t="s">
        <v>91</v>
      </c>
      <c r="F9" s="38">
        <f>SUMIF(ประมาณการรายจ่าย!L$4:L$62,"P17",ประมาณการรายจ่าย!F$4:F$62)</f>
        <v>0</v>
      </c>
    </row>
    <row r="10" spans="1:10" x14ac:dyDescent="0.2">
      <c r="A10" t="s">
        <v>110</v>
      </c>
      <c r="B10" s="45" t="s">
        <v>92</v>
      </c>
      <c r="C10" s="38">
        <f>SUMIF(ประมาณการรายได้!L$4:L$54,"P08",ประมาณการรายได้!F$4:F$54)</f>
        <v>0</v>
      </c>
      <c r="D10" s="39" t="s">
        <v>120</v>
      </c>
      <c r="E10" s="45" t="s">
        <v>93</v>
      </c>
      <c r="F10" s="38">
        <f>SUMIF(ประมาณการรายจ่าย!L$4:L$62,"P18",ประมาณการรายจ่าย!F$4:F$62)</f>
        <v>0</v>
      </c>
      <c r="I10" s="245"/>
    </row>
    <row r="11" spans="1:10" x14ac:dyDescent="0.2">
      <c r="A11" t="s">
        <v>111</v>
      </c>
      <c r="B11" s="45" t="s">
        <v>94</v>
      </c>
      <c r="C11" s="38">
        <f>SUMIF(ประมาณการรายได้!L$4:L$54,"P09",ประมาณการรายได้!F$4:F$54)</f>
        <v>0</v>
      </c>
      <c r="D11" s="39" t="s">
        <v>121</v>
      </c>
      <c r="E11" s="45" t="s">
        <v>22</v>
      </c>
      <c r="F11" s="38">
        <f>SUMIF(ประมาณการรายจ่าย!L$4:L$62,"P19",ประมาณการรายจ่าย!F$4:F$62)</f>
        <v>0</v>
      </c>
      <c r="I11" s="245"/>
      <c r="J11" s="366"/>
    </row>
    <row r="12" spans="1:10" x14ac:dyDescent="0.2">
      <c r="A12" t="s">
        <v>112</v>
      </c>
      <c r="B12" s="45" t="s">
        <v>95</v>
      </c>
      <c r="C12" s="38">
        <f>SUMIF(ประมาณการรายได้!L$4:L$54,"P10",ประมาณการรายได้!F$4:F$54)</f>
        <v>0</v>
      </c>
      <c r="D12" s="39" t="s">
        <v>122</v>
      </c>
      <c r="E12" s="45" t="s">
        <v>96</v>
      </c>
      <c r="F12" s="38">
        <f>SUMIF(ประมาณการรายจ่าย!L$4:L$62,"P20",ประมาณการรายจ่าย!F$4:F$62)</f>
        <v>0</v>
      </c>
      <c r="I12" s="245"/>
      <c r="J12" s="366"/>
    </row>
    <row r="13" spans="1:10" x14ac:dyDescent="0.2">
      <c r="A13" t="s">
        <v>113</v>
      </c>
      <c r="B13" s="45" t="s">
        <v>97</v>
      </c>
      <c r="C13" s="38">
        <f>SUMIF(ประมาณการรายได้!L$4:L$54,"P11",ประมาณการรายได้!F$4:F$54)</f>
        <v>0</v>
      </c>
      <c r="D13" s="39" t="s">
        <v>123</v>
      </c>
      <c r="E13" s="45" t="s">
        <v>98</v>
      </c>
      <c r="F13" s="38">
        <f>SUMIF(ประมาณการรายจ่าย!L$4:L$62,"P21",ประมาณการรายจ่าย!F$4:F$62)</f>
        <v>0</v>
      </c>
      <c r="I13" s="245"/>
    </row>
    <row r="14" spans="1:10" x14ac:dyDescent="0.2">
      <c r="A14" t="s">
        <v>114</v>
      </c>
      <c r="B14" s="45" t="s">
        <v>99</v>
      </c>
      <c r="C14" s="38">
        <f>SUMIF(ประมาณการรายได้!L$4:L$54,"P12",ประมาณการรายได้!F$4:F$54)</f>
        <v>0</v>
      </c>
      <c r="D14" s="39" t="s">
        <v>124</v>
      </c>
      <c r="E14" s="45" t="s">
        <v>100</v>
      </c>
      <c r="F14" s="38">
        <f>SUMIF(ประมาณการรายจ่าย!L$4:L$62,"P22",ประมาณการรายจ่าย!F$4:F$62)</f>
        <v>0</v>
      </c>
      <c r="I14" s="245"/>
    </row>
    <row r="15" spans="1:10" x14ac:dyDescent="0.2">
      <c r="A15" t="s">
        <v>860</v>
      </c>
      <c r="B15" s="46" t="s">
        <v>717</v>
      </c>
      <c r="C15" s="38">
        <f>SUMIF(ประมาณการรายได้!L$4:L$54,"P04c",ประมาณการรายได้!F$4:F$54)</f>
        <v>0</v>
      </c>
      <c r="D15" s="41" t="s">
        <v>125</v>
      </c>
      <c r="E15" s="45" t="s">
        <v>102</v>
      </c>
      <c r="F15" s="38">
        <f>SUMIF(ประมาณการรายจ่าย!L$4:L$62,"P23",ประมาณการรายจ่าย!F$4:F$62)</f>
        <v>0</v>
      </c>
      <c r="I15" s="366"/>
    </row>
    <row r="16" spans="1:10" x14ac:dyDescent="0.2">
      <c r="B16" s="46"/>
      <c r="C16" s="38"/>
      <c r="D16" t="s">
        <v>126</v>
      </c>
      <c r="E16" s="45" t="s">
        <v>103</v>
      </c>
      <c r="F16" s="38">
        <f>SUMIF(ประมาณการรายจ่าย!L$4:L$62,"P24",ประมาณการรายจ่าย!F$4:F$62)</f>
        <v>0</v>
      </c>
    </row>
    <row r="17" spans="1:6" x14ac:dyDescent="0.2">
      <c r="B17" s="46"/>
      <c r="C17" s="38"/>
      <c r="D17" t="s">
        <v>1099</v>
      </c>
      <c r="E17" s="45" t="s">
        <v>1098</v>
      </c>
      <c r="F17" s="38">
        <f>SUMIF(ประมาณการรายจ่าย!L$4:L$62,"P24D",ประมาณการรายจ่าย!F$4:F$62)</f>
        <v>0</v>
      </c>
    </row>
    <row r="18" spans="1:6" x14ac:dyDescent="0.2">
      <c r="B18" s="46"/>
      <c r="C18" s="46"/>
      <c r="D18" t="s">
        <v>127</v>
      </c>
      <c r="E18" s="45" t="s">
        <v>49</v>
      </c>
      <c r="F18" s="38">
        <f>SUMIF(ประมาณการรายจ่าย!L$4:L$62,"P25",ประมาณการรายจ่าย!F$4:F$62)</f>
        <v>0</v>
      </c>
    </row>
    <row r="19" spans="1:6" x14ac:dyDescent="0.2">
      <c r="A19" t="s">
        <v>115</v>
      </c>
      <c r="B19" s="47" t="s">
        <v>101</v>
      </c>
      <c r="C19" s="48">
        <f>SUM(C5:C18)</f>
        <v>0</v>
      </c>
      <c r="D19" t="s">
        <v>128</v>
      </c>
      <c r="E19" s="47" t="s">
        <v>77</v>
      </c>
      <c r="F19" s="49">
        <f>SUM(F5:F18)</f>
        <v>0</v>
      </c>
    </row>
    <row r="20" spans="1:6" x14ac:dyDescent="0.2">
      <c r="B20" s="42" t="s">
        <v>104</v>
      </c>
      <c r="C20" s="43">
        <f>+C19-F19</f>
        <v>0</v>
      </c>
      <c r="D20" s="41"/>
    </row>
    <row r="21" spans="1:6" x14ac:dyDescent="0.2">
      <c r="B21" s="44" t="s">
        <v>810</v>
      </c>
      <c r="C21" s="125">
        <f>C19-F19-C15+F16+F17</f>
        <v>0</v>
      </c>
      <c r="D21" s="39"/>
    </row>
    <row r="22" spans="1:6" x14ac:dyDescent="0.2">
      <c r="B22" s="44" t="s">
        <v>148</v>
      </c>
      <c r="C22" s="125" t="s">
        <v>150</v>
      </c>
      <c r="D22" s="39"/>
    </row>
    <row r="24" spans="1:6" x14ac:dyDescent="0.2">
      <c r="C24" t="s">
        <v>105</v>
      </c>
    </row>
    <row r="27" spans="1:6" x14ac:dyDescent="0.2">
      <c r="F27" s="35" t="s">
        <v>82</v>
      </c>
    </row>
    <row r="28" spans="1:6" ht="18" x14ac:dyDescent="0.2">
      <c r="B28" s="520" t="s">
        <v>1620</v>
      </c>
      <c r="C28" s="520"/>
      <c r="D28" s="520"/>
      <c r="E28" s="520"/>
      <c r="F28" s="520"/>
    </row>
    <row r="29" spans="1:6" ht="18" x14ac:dyDescent="0.2">
      <c r="B29" s="36" t="s">
        <v>130</v>
      </c>
      <c r="C29" s="37"/>
      <c r="D29" s="37"/>
      <c r="E29" s="37"/>
      <c r="F29" s="37"/>
    </row>
    <row r="30" spans="1:6" x14ac:dyDescent="0.2">
      <c r="B30" s="521" t="s">
        <v>83</v>
      </c>
      <c r="C30" s="521"/>
      <c r="E30" s="521" t="s">
        <v>84</v>
      </c>
      <c r="F30" s="521"/>
    </row>
    <row r="31" spans="1:6" x14ac:dyDescent="0.2">
      <c r="A31" t="s">
        <v>106</v>
      </c>
      <c r="B31" s="45" t="s">
        <v>85</v>
      </c>
      <c r="C31" s="38">
        <f>SUMIF(ประมาณการรายได้!L$4:L$54,"P04",ประมาณการรายได้!H$4:H$54)</f>
        <v>24541876.934589013</v>
      </c>
      <c r="D31" s="39" t="s">
        <v>116</v>
      </c>
      <c r="E31" s="45" t="s">
        <v>86</v>
      </c>
      <c r="F31" s="38">
        <f>SUMIF(ประมาณการรายจ่าย!L$4:L$62,"P14",ประมาณการรายจ่าย!H$4:H$62)</f>
        <v>6981089</v>
      </c>
    </row>
    <row r="32" spans="1:6" x14ac:dyDescent="0.2">
      <c r="A32" t="s">
        <v>107</v>
      </c>
      <c r="B32" s="45" t="s">
        <v>87</v>
      </c>
      <c r="C32" s="38">
        <f>SUMIF(ประมาณการรายได้!L$4:L$54,"P05",ประมาณการรายได้!H$4:H$54)</f>
        <v>0</v>
      </c>
      <c r="D32" s="39" t="s">
        <v>117</v>
      </c>
      <c r="E32" s="45" t="s">
        <v>718</v>
      </c>
      <c r="F32" s="38">
        <f>SUMIF(ประมาณการรายจ่าย!L$4:L$62,"P15",ประมาณการรายจ่าย!H$4:H$62)</f>
        <v>1122990</v>
      </c>
    </row>
    <row r="33" spans="1:6" x14ac:dyDescent="0.2">
      <c r="A33" t="s">
        <v>108</v>
      </c>
      <c r="B33" s="45" t="s">
        <v>88</v>
      </c>
      <c r="C33" s="38">
        <f>SUMIF(ประมาณการรายได้!L$4:L$54,"P06",ประมาณการรายได้!H$4:H$54)</f>
        <v>0</v>
      </c>
      <c r="D33" s="39" t="s">
        <v>1097</v>
      </c>
      <c r="E33" s="45" t="s">
        <v>1095</v>
      </c>
      <c r="F33" s="38">
        <f>SUMIF(ประมาณการรายจ่าย!L$4:L$62,"P15D",ประมาณการรายจ่าย!H$4:H$62)</f>
        <v>206085</v>
      </c>
    </row>
    <row r="34" spans="1:6" x14ac:dyDescent="0.2">
      <c r="A34" t="s">
        <v>1094</v>
      </c>
      <c r="B34" s="45" t="s">
        <v>1093</v>
      </c>
      <c r="C34" s="38">
        <f>SUMIF(ประมาณการรายได้!L$4:L$54,"P07L",ประมาณการรายได้!H$4:H$54)</f>
        <v>197150</v>
      </c>
      <c r="D34" s="39" t="s">
        <v>118</v>
      </c>
      <c r="E34" s="45" t="s">
        <v>89</v>
      </c>
      <c r="F34" s="38">
        <f>SUMIF(ประมาณการรายจ่าย!L$4:L$62,"P16",ประมาณการรายจ่าย!H$4:H$62)</f>
        <v>18365</v>
      </c>
    </row>
    <row r="35" spans="1:6" x14ac:dyDescent="0.2">
      <c r="A35" t="s">
        <v>109</v>
      </c>
      <c r="B35" s="45" t="s">
        <v>90</v>
      </c>
      <c r="C35" s="38">
        <f>SUMIF(ประมาณการรายได้!L$4:L$54,"P07",ประมาณการรายได้!H$4:H$54)</f>
        <v>0</v>
      </c>
      <c r="D35" s="39" t="s">
        <v>119</v>
      </c>
      <c r="E35" s="45" t="s">
        <v>91</v>
      </c>
      <c r="F35" s="40">
        <f>SUMIF(ประมาณการรายจ่าย!L$4:L$62,"P17",ประมาณการรายจ่าย!H$4:H$62)</f>
        <v>39553858.399999999</v>
      </c>
    </row>
    <row r="36" spans="1:6" x14ac:dyDescent="0.2">
      <c r="A36" t="s">
        <v>110</v>
      </c>
      <c r="B36" s="45" t="s">
        <v>92</v>
      </c>
      <c r="C36" s="38">
        <f>SUMIF(ประมาณการรายได้!L$4:L$54,"P08",ประมาณการรายได้!H$4:H$54)</f>
        <v>403390</v>
      </c>
      <c r="D36" s="39" t="s">
        <v>120</v>
      </c>
      <c r="E36" s="45" t="s">
        <v>93</v>
      </c>
      <c r="F36" s="40">
        <f>SUMIF(ประมาณการรายจ่าย!L$4:L$62,"P18",ประมาณการรายจ่าย!H$4:H$62)</f>
        <v>9771257.5999999996</v>
      </c>
    </row>
    <row r="37" spans="1:6" x14ac:dyDescent="0.2">
      <c r="A37" t="s">
        <v>111</v>
      </c>
      <c r="B37" s="45" t="s">
        <v>94</v>
      </c>
      <c r="C37" s="38">
        <f>SUMIF(ประมาณการรายได้!L$4:L$54,"P09",ประมาณการรายได้!H$4:H$54)</f>
        <v>0</v>
      </c>
      <c r="D37" s="39" t="s">
        <v>121</v>
      </c>
      <c r="E37" s="45" t="s">
        <v>22</v>
      </c>
      <c r="F37" s="40">
        <f>SUMIF(ประมาณการรายจ่าย!L$4:L$62,"P19",ประมาณการรายจ่าย!H$4:H$62)</f>
        <v>7504410</v>
      </c>
    </row>
    <row r="38" spans="1:6" x14ac:dyDescent="0.2">
      <c r="A38" t="s">
        <v>112</v>
      </c>
      <c r="B38" s="45" t="s">
        <v>95</v>
      </c>
      <c r="C38" s="38">
        <f>SUMIF(ประมาณการรายได้!L$4:L$54,"P10",ประมาณการรายได้!H$4:H$54)</f>
        <v>65500</v>
      </c>
      <c r="D38" s="39" t="s">
        <v>122</v>
      </c>
      <c r="E38" s="45" t="s">
        <v>96</v>
      </c>
      <c r="F38" s="40">
        <f>SUMIF(ประมาณการรายจ่าย!L$4:L$62,"P20",ประมาณการรายจ่าย!H$4:H$62)</f>
        <v>488562.88</v>
      </c>
    </row>
    <row r="39" spans="1:6" x14ac:dyDescent="0.2">
      <c r="A39" t="s">
        <v>113</v>
      </c>
      <c r="B39" s="45" t="s">
        <v>97</v>
      </c>
      <c r="C39" s="38">
        <f>SUMIF(ประมาณการรายได้!L$4:L$54,"P11",ประมาณการรายได้!H$4:H$54)</f>
        <v>39553858.399999999</v>
      </c>
      <c r="D39" s="39" t="s">
        <v>123</v>
      </c>
      <c r="E39" s="45" t="s">
        <v>98</v>
      </c>
      <c r="F39" s="40">
        <f>SUMIF(ประมาณการรายจ่าย!L$4:L$62,"P21",ประมาณการรายจ่าย!H$4:H$62)</f>
        <v>2363050</v>
      </c>
    </row>
    <row r="40" spans="1:6" x14ac:dyDescent="0.2">
      <c r="A40" t="s">
        <v>114</v>
      </c>
      <c r="B40" s="45" t="s">
        <v>99</v>
      </c>
      <c r="C40" s="38">
        <f>SUMIF(ประมาณการรายได้!L$4:L$54,"P12",ประมาณการรายได้!H$4:H$54)</f>
        <v>10093432</v>
      </c>
      <c r="D40" s="39" t="s">
        <v>124</v>
      </c>
      <c r="E40" s="45" t="s">
        <v>100</v>
      </c>
      <c r="F40" s="40">
        <f>SUMIF(ประมาณการรายจ่าย!L$4:L$62,"P22",ประมาณการรายจ่าย!H$4:H$62)</f>
        <v>1096343.6000000001</v>
      </c>
    </row>
    <row r="41" spans="1:6" x14ac:dyDescent="0.2">
      <c r="A41" t="s">
        <v>860</v>
      </c>
      <c r="B41" s="46" t="s">
        <v>717</v>
      </c>
      <c r="C41" s="38">
        <f>SUMIF(ประมาณการรายได้!L$4:L$54,"P04c",ประมาณการรายได้!H$4:H$54)</f>
        <v>1923750</v>
      </c>
      <c r="D41" s="41" t="s">
        <v>125</v>
      </c>
      <c r="E41" s="45" t="s">
        <v>102</v>
      </c>
      <c r="F41" s="40">
        <f>SUMIF(ประมาณการรายจ่าย!L$4:L$62,"P23",ประมาณการรายจ่าย!H$4:H$62)</f>
        <v>2185300</v>
      </c>
    </row>
    <row r="42" spans="1:6" x14ac:dyDescent="0.2">
      <c r="B42" s="46"/>
      <c r="C42" s="46"/>
      <c r="D42" t="s">
        <v>126</v>
      </c>
      <c r="E42" s="45" t="s">
        <v>103</v>
      </c>
      <c r="F42" s="40">
        <f>SUMIF(ประมาณการรายจ่าย!L$4:L$62,"P24",ประมาณการรายจ่าย!H$4:H$62)</f>
        <v>2534179.9513132935</v>
      </c>
    </row>
    <row r="43" spans="1:6" x14ac:dyDescent="0.2">
      <c r="B43" s="46"/>
      <c r="C43" s="46"/>
      <c r="D43" t="s">
        <v>1099</v>
      </c>
      <c r="E43" s="45" t="s">
        <v>1098</v>
      </c>
      <c r="F43" s="40">
        <f>SUMIF(ประมาณการรายจ่าย!L$4:L$62,"P24D",ประมาณการรายจ่าย!H$4:H$62)</f>
        <v>0</v>
      </c>
    </row>
    <row r="44" spans="1:6" x14ac:dyDescent="0.2">
      <c r="B44" s="46"/>
      <c r="C44" s="46"/>
      <c r="D44" t="s">
        <v>127</v>
      </c>
      <c r="E44" s="45" t="s">
        <v>49</v>
      </c>
      <c r="F44" s="40">
        <f>SUMIF(ประมาณการรายจ่าย!L$4:L$62,"P25",ประมาณการรายจ่าย!H$4:H$62)</f>
        <v>3000780</v>
      </c>
    </row>
    <row r="45" spans="1:6" x14ac:dyDescent="0.2">
      <c r="A45" t="s">
        <v>115</v>
      </c>
      <c r="B45" s="47" t="s">
        <v>101</v>
      </c>
      <c r="C45" s="48">
        <f>SUM(C31:C44)</f>
        <v>76778957.334589005</v>
      </c>
      <c r="D45" t="s">
        <v>128</v>
      </c>
      <c r="E45" s="47" t="s">
        <v>77</v>
      </c>
      <c r="F45" s="49">
        <f>SUM(F31:F44)</f>
        <v>76826271.431313276</v>
      </c>
    </row>
    <row r="46" spans="1:6" x14ac:dyDescent="0.2">
      <c r="B46" s="42" t="s">
        <v>104</v>
      </c>
      <c r="C46" s="43">
        <f>+C45-F45</f>
        <v>-47314.096724271774</v>
      </c>
      <c r="D46" s="41"/>
    </row>
    <row r="47" spans="1:6" x14ac:dyDescent="0.2">
      <c r="B47" s="44" t="s">
        <v>810</v>
      </c>
      <c r="C47" s="125">
        <f>C45-F45-C41+F42+F43</f>
        <v>563115.85458902176</v>
      </c>
      <c r="D47" s="39"/>
      <c r="F47" s="247" t="s">
        <v>150</v>
      </c>
    </row>
    <row r="48" spans="1:6" x14ac:dyDescent="0.2">
      <c r="B48" s="44" t="s">
        <v>148</v>
      </c>
      <c r="C48" s="125" t="s">
        <v>150</v>
      </c>
      <c r="D48" s="39"/>
      <c r="F48" t="s">
        <v>150</v>
      </c>
    </row>
    <row r="50" spans="1:6" x14ac:dyDescent="0.2">
      <c r="C50" t="s">
        <v>105</v>
      </c>
    </row>
    <row r="53" spans="1:6" x14ac:dyDescent="0.2">
      <c r="F53" s="35" t="s">
        <v>82</v>
      </c>
    </row>
    <row r="54" spans="1:6" ht="18" x14ac:dyDescent="0.2">
      <c r="B54" s="520" t="s">
        <v>1620</v>
      </c>
      <c r="C54" s="520"/>
      <c r="D54" s="520"/>
      <c r="E54" s="520"/>
      <c r="F54" s="520"/>
    </row>
    <row r="55" spans="1:6" ht="18" x14ac:dyDescent="0.2">
      <c r="B55" s="36" t="s">
        <v>151</v>
      </c>
      <c r="C55" s="37"/>
      <c r="D55" s="37"/>
      <c r="E55" s="37"/>
      <c r="F55" s="37"/>
    </row>
    <row r="56" spans="1:6" x14ac:dyDescent="0.2">
      <c r="B56" s="521" t="s">
        <v>83</v>
      </c>
      <c r="C56" s="521"/>
      <c r="E56" s="521" t="s">
        <v>84</v>
      </c>
      <c r="F56" s="521"/>
    </row>
    <row r="57" spans="1:6" x14ac:dyDescent="0.2">
      <c r="A57" t="s">
        <v>106</v>
      </c>
      <c r="B57" s="45" t="s">
        <v>85</v>
      </c>
      <c r="C57" s="38">
        <f>+C31+C5</f>
        <v>24541876.934589013</v>
      </c>
      <c r="D57" s="39" t="s">
        <v>116</v>
      </c>
      <c r="E57" s="45" t="s">
        <v>86</v>
      </c>
      <c r="F57" s="38">
        <f>+F31+F5</f>
        <v>6981089</v>
      </c>
    </row>
    <row r="58" spans="1:6" x14ac:dyDescent="0.2">
      <c r="A58" t="s">
        <v>107</v>
      </c>
      <c r="B58" s="45" t="s">
        <v>87</v>
      </c>
      <c r="C58" s="38">
        <f>+C32+C6</f>
        <v>0</v>
      </c>
      <c r="D58" s="39" t="s">
        <v>117</v>
      </c>
      <c r="E58" s="45" t="s">
        <v>718</v>
      </c>
      <c r="F58" s="38">
        <f t="shared" ref="F58:F70" si="0">+F32+F6</f>
        <v>1122990</v>
      </c>
    </row>
    <row r="59" spans="1:6" x14ac:dyDescent="0.2">
      <c r="A59" t="s">
        <v>108</v>
      </c>
      <c r="B59" s="45" t="s">
        <v>88</v>
      </c>
      <c r="C59" s="38">
        <f>+C33+C7</f>
        <v>0</v>
      </c>
      <c r="D59" s="39" t="s">
        <v>1097</v>
      </c>
      <c r="E59" s="45" t="s">
        <v>1095</v>
      </c>
      <c r="F59" s="38">
        <f t="shared" si="0"/>
        <v>206085</v>
      </c>
    </row>
    <row r="60" spans="1:6" x14ac:dyDescent="0.2">
      <c r="A60" t="s">
        <v>1094</v>
      </c>
      <c r="B60" s="45" t="s">
        <v>1093</v>
      </c>
      <c r="C60" s="38">
        <f>+C34+C8</f>
        <v>197150</v>
      </c>
      <c r="D60" s="39" t="s">
        <v>118</v>
      </c>
      <c r="E60" s="45" t="s">
        <v>89</v>
      </c>
      <c r="F60" s="38">
        <f t="shared" si="0"/>
        <v>18365</v>
      </c>
    </row>
    <row r="61" spans="1:6" x14ac:dyDescent="0.2">
      <c r="A61" t="s">
        <v>109</v>
      </c>
      <c r="B61" s="45" t="s">
        <v>90</v>
      </c>
      <c r="C61" s="38">
        <f t="shared" ref="C61:C67" si="1">+C35+C8</f>
        <v>0</v>
      </c>
      <c r="D61" s="39" t="s">
        <v>119</v>
      </c>
      <c r="E61" s="45" t="s">
        <v>91</v>
      </c>
      <c r="F61" s="38">
        <f t="shared" si="0"/>
        <v>39553858.399999999</v>
      </c>
    </row>
    <row r="62" spans="1:6" x14ac:dyDescent="0.2">
      <c r="A62" t="s">
        <v>110</v>
      </c>
      <c r="B62" s="45" t="s">
        <v>92</v>
      </c>
      <c r="C62" s="38">
        <f t="shared" si="1"/>
        <v>403390</v>
      </c>
      <c r="D62" s="39" t="s">
        <v>120</v>
      </c>
      <c r="E62" s="45" t="s">
        <v>93</v>
      </c>
      <c r="F62" s="38">
        <f t="shared" si="0"/>
        <v>9771257.5999999996</v>
      </c>
    </row>
    <row r="63" spans="1:6" x14ac:dyDescent="0.2">
      <c r="A63" t="s">
        <v>111</v>
      </c>
      <c r="B63" s="45" t="s">
        <v>94</v>
      </c>
      <c r="C63" s="38">
        <f t="shared" si="1"/>
        <v>0</v>
      </c>
      <c r="D63" s="39" t="s">
        <v>121</v>
      </c>
      <c r="E63" s="45" t="s">
        <v>22</v>
      </c>
      <c r="F63" s="38">
        <f t="shared" si="0"/>
        <v>7504410</v>
      </c>
    </row>
    <row r="64" spans="1:6" x14ac:dyDescent="0.2">
      <c r="A64" t="s">
        <v>112</v>
      </c>
      <c r="B64" s="45" t="s">
        <v>95</v>
      </c>
      <c r="C64" s="38">
        <f t="shared" si="1"/>
        <v>65500</v>
      </c>
      <c r="D64" s="39" t="s">
        <v>122</v>
      </c>
      <c r="E64" s="45" t="s">
        <v>96</v>
      </c>
      <c r="F64" s="38">
        <f t="shared" si="0"/>
        <v>488562.88</v>
      </c>
    </row>
    <row r="65" spans="1:6" x14ac:dyDescent="0.2">
      <c r="A65" t="s">
        <v>113</v>
      </c>
      <c r="B65" s="45" t="s">
        <v>97</v>
      </c>
      <c r="C65" s="38">
        <f t="shared" si="1"/>
        <v>39553858.399999999</v>
      </c>
      <c r="D65" s="39" t="s">
        <v>123</v>
      </c>
      <c r="E65" s="45" t="s">
        <v>98</v>
      </c>
      <c r="F65" s="38">
        <f t="shared" si="0"/>
        <v>2363050</v>
      </c>
    </row>
    <row r="66" spans="1:6" x14ac:dyDescent="0.2">
      <c r="A66" t="s">
        <v>114</v>
      </c>
      <c r="B66" s="45" t="s">
        <v>99</v>
      </c>
      <c r="C66" s="38">
        <f t="shared" si="1"/>
        <v>10093432</v>
      </c>
      <c r="D66" s="39" t="s">
        <v>124</v>
      </c>
      <c r="E66" s="45" t="s">
        <v>100</v>
      </c>
      <c r="F66" s="38">
        <f t="shared" si="0"/>
        <v>1096343.6000000001</v>
      </c>
    </row>
    <row r="67" spans="1:6" x14ac:dyDescent="0.2">
      <c r="A67" t="s">
        <v>860</v>
      </c>
      <c r="B67" s="45" t="s">
        <v>717</v>
      </c>
      <c r="C67" s="38">
        <f t="shared" si="1"/>
        <v>1923750</v>
      </c>
      <c r="D67" s="41" t="s">
        <v>125</v>
      </c>
      <c r="E67" s="45" t="s">
        <v>102</v>
      </c>
      <c r="F67" s="38">
        <f t="shared" si="0"/>
        <v>2185300</v>
      </c>
    </row>
    <row r="68" spans="1:6" x14ac:dyDescent="0.2">
      <c r="B68" s="46"/>
      <c r="C68" s="46"/>
      <c r="D68" t="s">
        <v>126</v>
      </c>
      <c r="E68" s="45" t="s">
        <v>103</v>
      </c>
      <c r="F68" s="38">
        <f t="shared" si="0"/>
        <v>2534179.9513132935</v>
      </c>
    </row>
    <row r="69" spans="1:6" x14ac:dyDescent="0.2">
      <c r="B69" s="46"/>
      <c r="C69" s="46"/>
      <c r="D69" t="s">
        <v>1099</v>
      </c>
      <c r="E69" s="45" t="s">
        <v>1098</v>
      </c>
      <c r="F69" s="38">
        <f t="shared" si="0"/>
        <v>0</v>
      </c>
    </row>
    <row r="70" spans="1:6" x14ac:dyDescent="0.2">
      <c r="B70" s="46"/>
      <c r="C70" s="46"/>
      <c r="D70" t="s">
        <v>127</v>
      </c>
      <c r="E70" s="45" t="s">
        <v>49</v>
      </c>
      <c r="F70" s="38">
        <f t="shared" si="0"/>
        <v>3000780</v>
      </c>
    </row>
    <row r="71" spans="1:6" x14ac:dyDescent="0.2">
      <c r="A71" t="s">
        <v>115</v>
      </c>
      <c r="B71" s="47" t="s">
        <v>101</v>
      </c>
      <c r="C71" s="48">
        <f>SUM(C57:C70)</f>
        <v>76778957.334589005</v>
      </c>
      <c r="D71" t="s">
        <v>128</v>
      </c>
      <c r="E71" s="47" t="s">
        <v>77</v>
      </c>
      <c r="F71" s="49">
        <f>SUM(F57:F70)</f>
        <v>76826271.431313276</v>
      </c>
    </row>
    <row r="72" spans="1:6" x14ac:dyDescent="0.2">
      <c r="B72" s="42" t="s">
        <v>104</v>
      </c>
      <c r="C72" s="43">
        <f>C46+C20</f>
        <v>-47314.096724271774</v>
      </c>
      <c r="D72" s="41"/>
    </row>
    <row r="73" spans="1:6" x14ac:dyDescent="0.2">
      <c r="B73" s="44" t="s">
        <v>810</v>
      </c>
      <c r="C73" s="125">
        <f>C47+C21</f>
        <v>563115.85458902176</v>
      </c>
      <c r="D73" s="39"/>
    </row>
    <row r="74" spans="1:6" x14ac:dyDescent="0.2">
      <c r="B74" s="44" t="s">
        <v>148</v>
      </c>
      <c r="C74" s="125"/>
      <c r="D74" s="39"/>
    </row>
    <row r="76" spans="1:6" x14ac:dyDescent="0.2">
      <c r="C76" t="s">
        <v>105</v>
      </c>
    </row>
  </sheetData>
  <sheetProtection formatCells="0" formatColumns="0" formatRows="0" selectLockedCells="1" selectUnlockedCells="1"/>
  <mergeCells count="9">
    <mergeCell ref="B54:F54"/>
    <mergeCell ref="B56:C56"/>
    <mergeCell ref="E56:F56"/>
    <mergeCell ref="B2:F2"/>
    <mergeCell ref="B4:C4"/>
    <mergeCell ref="E4:F4"/>
    <mergeCell ref="B28:F28"/>
    <mergeCell ref="B30:C30"/>
    <mergeCell ref="E30:F30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456"/>
  <sheetViews>
    <sheetView zoomScaleNormal="100" workbookViewId="0">
      <pane xSplit="2" ySplit="1" topLeftCell="C434" activePane="bottomRight" state="frozen"/>
      <selection activeCell="E102" sqref="E102"/>
      <selection pane="topRight" activeCell="E102" sqref="E102"/>
      <selection pane="bottomLeft" activeCell="E102" sqref="E102"/>
      <selection pane="bottomRight" activeCell="E102" sqref="E102"/>
    </sheetView>
  </sheetViews>
  <sheetFormatPr defaultRowHeight="14.25" x14ac:dyDescent="0.2"/>
  <cols>
    <col min="1" max="1" width="14.625" bestFit="1" customWidth="1"/>
    <col min="2" max="2" width="53.125" customWidth="1"/>
    <col min="3" max="3" width="13.875" bestFit="1" customWidth="1"/>
    <col min="4" max="4" width="14.625" style="124" bestFit="1" customWidth="1"/>
  </cols>
  <sheetData>
    <row r="1" spans="1:5" ht="15" x14ac:dyDescent="0.25">
      <c r="A1" s="374" t="s">
        <v>169</v>
      </c>
      <c r="B1" s="374" t="s">
        <v>170</v>
      </c>
      <c r="C1" s="124" t="s">
        <v>171</v>
      </c>
      <c r="E1" t="s">
        <v>130</v>
      </c>
    </row>
    <row r="2" spans="1:5" x14ac:dyDescent="0.2">
      <c r="A2" s="415" t="s">
        <v>172</v>
      </c>
      <c r="B2" s="416" t="s">
        <v>173</v>
      </c>
      <c r="C2" s="245">
        <v>0</v>
      </c>
    </row>
    <row r="3" spans="1:5" x14ac:dyDescent="0.2">
      <c r="A3" s="415" t="s">
        <v>174</v>
      </c>
      <c r="B3" s="416" t="s">
        <v>175</v>
      </c>
      <c r="C3" s="245">
        <v>0</v>
      </c>
    </row>
    <row r="4" spans="1:5" x14ac:dyDescent="0.2">
      <c r="A4" s="415" t="s">
        <v>176</v>
      </c>
      <c r="B4" s="416" t="s">
        <v>177</v>
      </c>
      <c r="C4" s="245">
        <v>0</v>
      </c>
    </row>
    <row r="5" spans="1:5" x14ac:dyDescent="0.2">
      <c r="A5" s="415" t="s">
        <v>178</v>
      </c>
      <c r="B5" s="416" t="s">
        <v>1473</v>
      </c>
      <c r="C5" s="245">
        <v>0</v>
      </c>
    </row>
    <row r="6" spans="1:5" x14ac:dyDescent="0.2">
      <c r="A6" s="415" t="s">
        <v>179</v>
      </c>
      <c r="B6" s="416" t="s">
        <v>876</v>
      </c>
      <c r="C6" s="245">
        <v>0</v>
      </c>
    </row>
    <row r="7" spans="1:5" x14ac:dyDescent="0.2">
      <c r="A7" s="415" t="s">
        <v>180</v>
      </c>
      <c r="B7" s="416" t="s">
        <v>181</v>
      </c>
      <c r="C7" s="245">
        <v>0</v>
      </c>
    </row>
    <row r="8" spans="1:5" x14ac:dyDescent="0.2">
      <c r="A8" s="415" t="s">
        <v>182</v>
      </c>
      <c r="B8" s="416" t="s">
        <v>286</v>
      </c>
      <c r="C8" s="245">
        <v>0</v>
      </c>
    </row>
    <row r="9" spans="1:5" x14ac:dyDescent="0.2">
      <c r="A9" s="415" t="s">
        <v>183</v>
      </c>
      <c r="B9" s="416" t="s">
        <v>288</v>
      </c>
      <c r="C9" s="245">
        <v>0</v>
      </c>
    </row>
    <row r="10" spans="1:5" x14ac:dyDescent="0.2">
      <c r="A10" s="415" t="s">
        <v>184</v>
      </c>
      <c r="B10" s="416" t="s">
        <v>1474</v>
      </c>
      <c r="C10" s="245">
        <v>0</v>
      </c>
    </row>
    <row r="11" spans="1:5" x14ac:dyDescent="0.2">
      <c r="A11" s="415" t="s">
        <v>1475</v>
      </c>
      <c r="B11" s="416" t="s">
        <v>1476</v>
      </c>
      <c r="C11" s="245">
        <v>0</v>
      </c>
    </row>
    <row r="12" spans="1:5" x14ac:dyDescent="0.2">
      <c r="A12" s="415" t="s">
        <v>185</v>
      </c>
      <c r="B12" s="416" t="s">
        <v>186</v>
      </c>
      <c r="C12" s="245">
        <v>0</v>
      </c>
    </row>
    <row r="13" spans="1:5" x14ac:dyDescent="0.2">
      <c r="A13" s="415" t="s">
        <v>187</v>
      </c>
      <c r="B13" s="416" t="s">
        <v>188</v>
      </c>
      <c r="C13" s="245">
        <v>0</v>
      </c>
    </row>
    <row r="14" spans="1:5" x14ac:dyDescent="0.2">
      <c r="A14" s="415" t="s">
        <v>189</v>
      </c>
      <c r="B14" s="416" t="s">
        <v>190</v>
      </c>
      <c r="C14" s="245">
        <v>0</v>
      </c>
    </row>
    <row r="15" spans="1:5" x14ac:dyDescent="0.2">
      <c r="A15" s="415" t="s">
        <v>877</v>
      </c>
      <c r="B15" s="416" t="s">
        <v>193</v>
      </c>
      <c r="C15" s="245">
        <v>0</v>
      </c>
    </row>
    <row r="16" spans="1:5" x14ac:dyDescent="0.2">
      <c r="A16" s="415" t="s">
        <v>878</v>
      </c>
      <c r="B16" s="416" t="s">
        <v>194</v>
      </c>
      <c r="C16" s="245">
        <v>0</v>
      </c>
    </row>
    <row r="17" spans="1:4" x14ac:dyDescent="0.2">
      <c r="A17" s="415" t="s">
        <v>195</v>
      </c>
      <c r="B17" s="416" t="s">
        <v>196</v>
      </c>
      <c r="C17" s="245">
        <v>0</v>
      </c>
    </row>
    <row r="18" spans="1:4" x14ac:dyDescent="0.2">
      <c r="A18" s="415" t="s">
        <v>197</v>
      </c>
      <c r="B18" s="416" t="s">
        <v>198</v>
      </c>
      <c r="C18" s="245">
        <v>0</v>
      </c>
    </row>
    <row r="19" spans="1:4" x14ac:dyDescent="0.2">
      <c r="A19" s="415" t="s">
        <v>879</v>
      </c>
      <c r="B19" s="416" t="s">
        <v>191</v>
      </c>
      <c r="C19" s="245">
        <v>0</v>
      </c>
    </row>
    <row r="20" spans="1:4" x14ac:dyDescent="0.2">
      <c r="A20" s="415" t="s">
        <v>880</v>
      </c>
      <c r="B20" s="416" t="s">
        <v>192</v>
      </c>
      <c r="C20" s="245">
        <v>0</v>
      </c>
    </row>
    <row r="21" spans="1:4" x14ac:dyDescent="0.2">
      <c r="A21" s="415" t="s">
        <v>881</v>
      </c>
      <c r="B21" s="416" t="s">
        <v>882</v>
      </c>
      <c r="C21" s="237">
        <f>แบบบันทึกแม่ข่าย!F83</f>
        <v>0</v>
      </c>
      <c r="D21" s="124" t="s">
        <v>868</v>
      </c>
    </row>
    <row r="22" spans="1:4" x14ac:dyDescent="0.2">
      <c r="A22" s="415" t="s">
        <v>883</v>
      </c>
      <c r="B22" s="416" t="s">
        <v>884</v>
      </c>
      <c r="C22" s="237">
        <f>แบบบันทึกแม่ข่าย!F86</f>
        <v>0</v>
      </c>
      <c r="D22" s="124" t="s">
        <v>1395</v>
      </c>
    </row>
    <row r="23" spans="1:4" x14ac:dyDescent="0.2">
      <c r="A23" s="415" t="s">
        <v>199</v>
      </c>
      <c r="B23" s="416" t="s">
        <v>885</v>
      </c>
      <c r="C23" s="237">
        <f>แบบบันทึกแม่ข่าย!F60</f>
        <v>0</v>
      </c>
      <c r="D23" s="124" t="s">
        <v>864</v>
      </c>
    </row>
    <row r="24" spans="1:4" x14ac:dyDescent="0.2">
      <c r="A24" s="415" t="s">
        <v>200</v>
      </c>
      <c r="B24" s="416" t="s">
        <v>886</v>
      </c>
      <c r="C24" s="237">
        <f>แบบบันทึกแม่ข่าย!F61</f>
        <v>0</v>
      </c>
      <c r="D24" s="124" t="s">
        <v>865</v>
      </c>
    </row>
    <row r="25" spans="1:4" x14ac:dyDescent="0.2">
      <c r="A25" s="415" t="s">
        <v>201</v>
      </c>
      <c r="B25" s="416" t="s">
        <v>887</v>
      </c>
      <c r="C25" s="237">
        <f>แบบบันทึกแม่ข่าย!F81</f>
        <v>0</v>
      </c>
      <c r="D25" s="124" t="s">
        <v>1295</v>
      </c>
    </row>
    <row r="26" spans="1:4" x14ac:dyDescent="0.2">
      <c r="A26" s="415" t="s">
        <v>202</v>
      </c>
      <c r="B26" s="416" t="s">
        <v>888</v>
      </c>
      <c r="C26" s="237">
        <f>แบบบันทึกแม่ข่าย!F82</f>
        <v>0</v>
      </c>
      <c r="D26" s="124" t="s">
        <v>687</v>
      </c>
    </row>
    <row r="27" spans="1:4" x14ac:dyDescent="0.2">
      <c r="A27" s="415" t="s">
        <v>1306</v>
      </c>
      <c r="B27" s="416" t="s">
        <v>1477</v>
      </c>
      <c r="C27" s="245">
        <v>0</v>
      </c>
    </row>
    <row r="28" spans="1:4" x14ac:dyDescent="0.2">
      <c r="A28" s="415" t="s">
        <v>1307</v>
      </c>
      <c r="B28" s="416" t="s">
        <v>1478</v>
      </c>
      <c r="C28" s="245">
        <v>0</v>
      </c>
    </row>
    <row r="29" spans="1:4" x14ac:dyDescent="0.2">
      <c r="A29" s="415" t="s">
        <v>1308</v>
      </c>
      <c r="B29" s="416" t="s">
        <v>1309</v>
      </c>
      <c r="C29" s="245">
        <v>0</v>
      </c>
    </row>
    <row r="30" spans="1:4" x14ac:dyDescent="0.2">
      <c r="A30" s="417" t="s">
        <v>1310</v>
      </c>
      <c r="B30" s="416" t="s">
        <v>1311</v>
      </c>
      <c r="C30" s="245">
        <v>0</v>
      </c>
    </row>
    <row r="31" spans="1:4" x14ac:dyDescent="0.2">
      <c r="A31" s="417" t="s">
        <v>203</v>
      </c>
      <c r="B31" s="416" t="s">
        <v>889</v>
      </c>
      <c r="C31" s="237">
        <f>แบบบันทึกแม่ข่าย!F63</f>
        <v>0</v>
      </c>
      <c r="D31" s="124" t="s">
        <v>1296</v>
      </c>
    </row>
    <row r="32" spans="1:4" x14ac:dyDescent="0.2">
      <c r="A32" s="415" t="s">
        <v>204</v>
      </c>
      <c r="B32" s="416" t="s">
        <v>890</v>
      </c>
      <c r="C32" s="237">
        <f>แบบบันทึกแม่ข่าย!F64+(-1*C33)</f>
        <v>0</v>
      </c>
      <c r="D32" s="124" t="s">
        <v>1297</v>
      </c>
    </row>
    <row r="33" spans="1:4" x14ac:dyDescent="0.2">
      <c r="A33" s="415" t="s">
        <v>205</v>
      </c>
      <c r="B33" s="416" t="s">
        <v>206</v>
      </c>
      <c r="C33" s="375">
        <f>กรอกเพิ่ม!F60+กรอกเพิ่ม!F69</f>
        <v>0</v>
      </c>
      <c r="D33" s="376"/>
    </row>
    <row r="34" spans="1:4" x14ac:dyDescent="0.2">
      <c r="A34" s="415" t="s">
        <v>207</v>
      </c>
      <c r="B34" s="416" t="s">
        <v>208</v>
      </c>
      <c r="C34" s="245">
        <v>0</v>
      </c>
    </row>
    <row r="35" spans="1:4" x14ac:dyDescent="0.2">
      <c r="A35" s="415" t="s">
        <v>209</v>
      </c>
      <c r="B35" s="416" t="s">
        <v>891</v>
      </c>
      <c r="C35" s="237">
        <f>แบบบันทึกแม่ข่าย!F72</f>
        <v>0</v>
      </c>
      <c r="D35" s="124" t="s">
        <v>1298</v>
      </c>
    </row>
    <row r="36" spans="1:4" x14ac:dyDescent="0.2">
      <c r="A36" s="415" t="s">
        <v>210</v>
      </c>
      <c r="B36" s="416" t="s">
        <v>892</v>
      </c>
      <c r="C36" s="237">
        <f>แบบบันทึกแม่ข่าย!F73</f>
        <v>0</v>
      </c>
      <c r="D36" s="124" t="s">
        <v>678</v>
      </c>
    </row>
    <row r="37" spans="1:4" x14ac:dyDescent="0.2">
      <c r="A37" s="415" t="s">
        <v>211</v>
      </c>
      <c r="B37" s="416" t="s">
        <v>893</v>
      </c>
      <c r="C37" s="237">
        <f>แบบบันทึกแม่ข่าย!F66</f>
        <v>0</v>
      </c>
      <c r="D37" s="124" t="s">
        <v>722</v>
      </c>
    </row>
    <row r="38" spans="1:4" x14ac:dyDescent="0.2">
      <c r="A38" s="415" t="s">
        <v>212</v>
      </c>
      <c r="B38" s="416" t="s">
        <v>1479</v>
      </c>
      <c r="C38" s="237">
        <f>แบบบันทึกแม่ข่าย!F67+(-1*C39)</f>
        <v>0</v>
      </c>
      <c r="D38" s="124" t="s">
        <v>861</v>
      </c>
    </row>
    <row r="39" spans="1:4" x14ac:dyDescent="0.2">
      <c r="A39" s="415" t="s">
        <v>213</v>
      </c>
      <c r="B39" s="416" t="s">
        <v>1480</v>
      </c>
      <c r="C39" s="375">
        <f>กรอกเพิ่ม!F59+กรอกเพิ่ม!F68</f>
        <v>0</v>
      </c>
      <c r="D39" s="376"/>
    </row>
    <row r="40" spans="1:4" x14ac:dyDescent="0.2">
      <c r="A40" s="415" t="s">
        <v>214</v>
      </c>
      <c r="B40" s="416" t="s">
        <v>1481</v>
      </c>
      <c r="C40" s="245">
        <v>0</v>
      </c>
    </row>
    <row r="41" spans="1:4" x14ac:dyDescent="0.2">
      <c r="A41" s="415" t="s">
        <v>894</v>
      </c>
      <c r="B41" s="416" t="s">
        <v>1482</v>
      </c>
      <c r="C41" s="245">
        <v>0</v>
      </c>
    </row>
    <row r="42" spans="1:4" x14ac:dyDescent="0.2">
      <c r="A42" s="415" t="s">
        <v>895</v>
      </c>
      <c r="B42" s="416" t="s">
        <v>1312</v>
      </c>
      <c r="C42" s="245">
        <v>0</v>
      </c>
    </row>
    <row r="43" spans="1:4" x14ac:dyDescent="0.2">
      <c r="A43" s="415" t="s">
        <v>896</v>
      </c>
      <c r="B43" s="416" t="s">
        <v>1313</v>
      </c>
      <c r="C43" s="245">
        <v>0</v>
      </c>
    </row>
    <row r="44" spans="1:4" x14ac:dyDescent="0.2">
      <c r="A44" s="415" t="s">
        <v>897</v>
      </c>
      <c r="B44" s="416" t="s">
        <v>1314</v>
      </c>
      <c r="C44" s="245">
        <v>0</v>
      </c>
    </row>
    <row r="45" spans="1:4" x14ac:dyDescent="0.2">
      <c r="A45" s="415" t="s">
        <v>215</v>
      </c>
      <c r="B45" s="416" t="s">
        <v>898</v>
      </c>
      <c r="C45" s="237">
        <f>แบบบันทึกแม่ข่าย!F18+(-1*C57)</f>
        <v>0</v>
      </c>
      <c r="D45" s="124" t="s">
        <v>1300</v>
      </c>
    </row>
    <row r="46" spans="1:4" x14ac:dyDescent="0.2">
      <c r="A46" s="415" t="s">
        <v>216</v>
      </c>
      <c r="B46" s="416" t="s">
        <v>899</v>
      </c>
      <c r="C46" s="237">
        <f>แบบบันทึกแม่ข่าย!F21+(-1*C58)</f>
        <v>0</v>
      </c>
      <c r="D46" s="124" t="s">
        <v>863</v>
      </c>
    </row>
    <row r="47" spans="1:4" x14ac:dyDescent="0.2">
      <c r="A47" s="415" t="s">
        <v>217</v>
      </c>
      <c r="B47" s="416" t="s">
        <v>900</v>
      </c>
      <c r="C47" s="237">
        <f>แบบบันทึกแม่ข่าย!F53</f>
        <v>0</v>
      </c>
      <c r="D47" s="124" t="s">
        <v>1301</v>
      </c>
    </row>
    <row r="48" spans="1:4" x14ac:dyDescent="0.2">
      <c r="A48" s="415" t="s">
        <v>218</v>
      </c>
      <c r="B48" s="416" t="s">
        <v>901</v>
      </c>
      <c r="C48" s="237">
        <f>แบบบันทึกแม่ข่าย!F54</f>
        <v>0</v>
      </c>
      <c r="D48" s="124" t="s">
        <v>1302</v>
      </c>
    </row>
    <row r="49" spans="1:4" x14ac:dyDescent="0.2">
      <c r="A49" s="415" t="s">
        <v>219</v>
      </c>
      <c r="B49" s="416" t="s">
        <v>1483</v>
      </c>
      <c r="C49" s="237">
        <f>แบบบันทึกแม่ข่าย!F55</f>
        <v>0</v>
      </c>
      <c r="D49" s="124" t="s">
        <v>1303</v>
      </c>
    </row>
    <row r="50" spans="1:4" x14ac:dyDescent="0.2">
      <c r="A50" s="415" t="s">
        <v>220</v>
      </c>
      <c r="B50" s="416" t="s">
        <v>221</v>
      </c>
      <c r="C50" s="237">
        <f>แบบบันทึกแม่ข่าย!F37</f>
        <v>0</v>
      </c>
      <c r="D50" s="124" t="s">
        <v>1304</v>
      </c>
    </row>
    <row r="51" spans="1:4" x14ac:dyDescent="0.2">
      <c r="A51" s="415" t="s">
        <v>222</v>
      </c>
      <c r="B51" s="416" t="s">
        <v>902</v>
      </c>
      <c r="C51" s="245">
        <v>0</v>
      </c>
    </row>
    <row r="52" spans="1:4" x14ac:dyDescent="0.2">
      <c r="A52" s="415" t="s">
        <v>223</v>
      </c>
      <c r="B52" s="416" t="s">
        <v>1315</v>
      </c>
      <c r="C52" s="237">
        <f>แบบบันทึกแม่ข่าย!F19</f>
        <v>0</v>
      </c>
      <c r="D52" s="124" t="s">
        <v>1356</v>
      </c>
    </row>
    <row r="53" spans="1:4" x14ac:dyDescent="0.2">
      <c r="A53" s="415" t="s">
        <v>224</v>
      </c>
      <c r="B53" s="418" t="s">
        <v>903</v>
      </c>
      <c r="C53" s="237">
        <f>แบบบันทึกแม่ข่าย!F23+แบบบันทึกแม่ข่าย!F24</f>
        <v>0</v>
      </c>
      <c r="D53" s="124" t="s">
        <v>1305</v>
      </c>
    </row>
    <row r="54" spans="1:4" x14ac:dyDescent="0.2">
      <c r="A54" s="415" t="s">
        <v>225</v>
      </c>
      <c r="B54" s="416" t="s">
        <v>226</v>
      </c>
      <c r="C54" s="237">
        <f>แบบบันทึกแม่ข่าย!F32</f>
        <v>0</v>
      </c>
      <c r="D54" s="124" t="s">
        <v>682</v>
      </c>
    </row>
    <row r="55" spans="1:4" x14ac:dyDescent="0.2">
      <c r="A55" s="415" t="s">
        <v>227</v>
      </c>
      <c r="B55" s="416" t="s">
        <v>1316</v>
      </c>
      <c r="C55" s="237">
        <f>แบบบันทึกแม่ข่าย!F25+แบบบันทึกแม่ข่าย!F26</f>
        <v>0</v>
      </c>
      <c r="D55" s="124" t="s">
        <v>866</v>
      </c>
    </row>
    <row r="56" spans="1:4" x14ac:dyDescent="0.2">
      <c r="A56" s="415" t="s">
        <v>228</v>
      </c>
      <c r="B56" s="416" t="s">
        <v>229</v>
      </c>
      <c r="C56" s="237">
        <f>แบบบันทึกแม่ข่าย!F40</f>
        <v>0</v>
      </c>
      <c r="D56" s="124" t="s">
        <v>1357</v>
      </c>
    </row>
    <row r="57" spans="1:4" x14ac:dyDescent="0.2">
      <c r="A57" s="415" t="s">
        <v>230</v>
      </c>
      <c r="B57" s="416" t="s">
        <v>904</v>
      </c>
      <c r="C57" s="375">
        <f>กรอกเพิ่ม!F57</f>
        <v>0</v>
      </c>
      <c r="D57" s="376"/>
    </row>
    <row r="58" spans="1:4" x14ac:dyDescent="0.2">
      <c r="A58" s="415" t="s">
        <v>231</v>
      </c>
      <c r="B58" s="416" t="s">
        <v>905</v>
      </c>
      <c r="C58" s="375">
        <f>กรอกเพิ่ม!F66</f>
        <v>0</v>
      </c>
      <c r="D58" s="376"/>
    </row>
    <row r="59" spans="1:4" x14ac:dyDescent="0.2">
      <c r="A59" s="419" t="s">
        <v>232</v>
      </c>
      <c r="B59" s="419" t="s">
        <v>906</v>
      </c>
      <c r="C59" s="245">
        <v>0</v>
      </c>
    </row>
    <row r="60" spans="1:4" x14ac:dyDescent="0.2">
      <c r="A60" s="419" t="s">
        <v>233</v>
      </c>
      <c r="B60" s="419" t="s">
        <v>907</v>
      </c>
      <c r="C60" s="245">
        <v>0</v>
      </c>
    </row>
    <row r="61" spans="1:4" x14ac:dyDescent="0.2">
      <c r="A61" s="419" t="s">
        <v>234</v>
      </c>
      <c r="B61" s="419" t="s">
        <v>908</v>
      </c>
      <c r="C61" s="245">
        <v>0</v>
      </c>
    </row>
    <row r="62" spans="1:4" x14ac:dyDescent="0.2">
      <c r="A62" s="419" t="s">
        <v>235</v>
      </c>
      <c r="B62" s="419" t="s">
        <v>909</v>
      </c>
      <c r="C62" s="245">
        <v>0</v>
      </c>
    </row>
    <row r="63" spans="1:4" x14ac:dyDescent="0.2">
      <c r="A63" s="419" t="s">
        <v>236</v>
      </c>
      <c r="B63" s="419" t="s">
        <v>237</v>
      </c>
      <c r="C63" s="237">
        <f>แบบบันทึกแม่ข่าย!F49</f>
        <v>0</v>
      </c>
      <c r="D63" s="124" t="s">
        <v>1389</v>
      </c>
    </row>
    <row r="64" spans="1:4" x14ac:dyDescent="0.2">
      <c r="A64" s="419" t="s">
        <v>238</v>
      </c>
      <c r="B64" s="419" t="s">
        <v>239</v>
      </c>
      <c r="C64" s="237">
        <f>แบบบันทึกแม่ข่าย!F50+แบบบันทึกแม่ข่าย!F51</f>
        <v>0</v>
      </c>
      <c r="D64" s="124" t="s">
        <v>1390</v>
      </c>
    </row>
    <row r="65" spans="1:4" x14ac:dyDescent="0.2">
      <c r="A65" s="415" t="s">
        <v>240</v>
      </c>
      <c r="B65" s="416" t="s">
        <v>1484</v>
      </c>
      <c r="C65" s="237">
        <f>แบบบันทึกแม่ข่าย!F30</f>
        <v>0</v>
      </c>
      <c r="D65" s="124" t="s">
        <v>867</v>
      </c>
    </row>
    <row r="66" spans="1:4" x14ac:dyDescent="0.2">
      <c r="A66" s="415" t="s">
        <v>241</v>
      </c>
      <c r="B66" s="416" t="s">
        <v>1317</v>
      </c>
      <c r="C66" s="237">
        <f>แบบบันทึกแม่ข่าย!F31+(-1*C67)</f>
        <v>0</v>
      </c>
      <c r="D66" s="124" t="s">
        <v>683</v>
      </c>
    </row>
    <row r="67" spans="1:4" x14ac:dyDescent="0.2">
      <c r="A67" s="415" t="s">
        <v>910</v>
      </c>
      <c r="B67" s="416" t="s">
        <v>1485</v>
      </c>
      <c r="C67" s="375">
        <v>0</v>
      </c>
      <c r="D67" s="376"/>
    </row>
    <row r="68" spans="1:4" x14ac:dyDescent="0.2">
      <c r="A68" s="415" t="s">
        <v>911</v>
      </c>
      <c r="B68" s="416" t="s">
        <v>1486</v>
      </c>
      <c r="C68" s="245">
        <v>0</v>
      </c>
    </row>
    <row r="69" spans="1:4" x14ac:dyDescent="0.2">
      <c r="A69" s="415" t="s">
        <v>912</v>
      </c>
      <c r="B69" s="416" t="s">
        <v>913</v>
      </c>
      <c r="C69" s="237">
        <f>แบบบันทึกแม่ข่าย!F27</f>
        <v>0</v>
      </c>
      <c r="D69" s="124" t="s">
        <v>1358</v>
      </c>
    </row>
    <row r="70" spans="1:4" x14ac:dyDescent="0.2">
      <c r="A70" s="415" t="s">
        <v>914</v>
      </c>
      <c r="B70" s="416" t="s">
        <v>915</v>
      </c>
      <c r="C70" s="245">
        <v>0</v>
      </c>
    </row>
    <row r="71" spans="1:4" x14ac:dyDescent="0.2">
      <c r="A71" s="415" t="s">
        <v>916</v>
      </c>
      <c r="B71" s="416" t="s">
        <v>917</v>
      </c>
      <c r="C71" s="245">
        <v>0</v>
      </c>
    </row>
    <row r="72" spans="1:4" x14ac:dyDescent="0.2">
      <c r="A72" s="415" t="s">
        <v>918</v>
      </c>
      <c r="B72" s="416" t="s">
        <v>1318</v>
      </c>
      <c r="C72" s="245">
        <v>0</v>
      </c>
    </row>
    <row r="73" spans="1:4" x14ac:dyDescent="0.2">
      <c r="A73" s="415" t="s">
        <v>919</v>
      </c>
      <c r="B73" s="416" t="s">
        <v>1319</v>
      </c>
      <c r="C73" s="245">
        <v>0</v>
      </c>
    </row>
    <row r="74" spans="1:4" x14ac:dyDescent="0.2">
      <c r="A74" s="415" t="s">
        <v>920</v>
      </c>
      <c r="B74" s="416" t="s">
        <v>921</v>
      </c>
      <c r="C74" s="245">
        <v>0</v>
      </c>
    </row>
    <row r="75" spans="1:4" x14ac:dyDescent="0.2">
      <c r="A75" s="415" t="s">
        <v>922</v>
      </c>
      <c r="B75" s="416" t="s">
        <v>923</v>
      </c>
      <c r="C75" s="245">
        <v>0</v>
      </c>
    </row>
    <row r="76" spans="1:4" x14ac:dyDescent="0.2">
      <c r="A76" s="420" t="s">
        <v>924</v>
      </c>
      <c r="B76" s="421" t="s">
        <v>925</v>
      </c>
      <c r="C76" s="245">
        <v>0</v>
      </c>
    </row>
    <row r="77" spans="1:4" x14ac:dyDescent="0.2">
      <c r="A77" s="420" t="s">
        <v>926</v>
      </c>
      <c r="B77" s="421" t="s">
        <v>927</v>
      </c>
      <c r="C77" s="245">
        <v>0</v>
      </c>
    </row>
    <row r="78" spans="1:4" x14ac:dyDescent="0.2">
      <c r="A78" s="420" t="s">
        <v>1487</v>
      </c>
      <c r="B78" s="416" t="s">
        <v>1488</v>
      </c>
      <c r="C78" s="245">
        <v>0</v>
      </c>
    </row>
    <row r="79" spans="1:4" x14ac:dyDescent="0.2">
      <c r="A79" s="420" t="s">
        <v>1489</v>
      </c>
      <c r="B79" s="416" t="s">
        <v>1490</v>
      </c>
      <c r="C79" s="245">
        <v>0</v>
      </c>
    </row>
    <row r="80" spans="1:4" x14ac:dyDescent="0.2">
      <c r="A80" s="422" t="s">
        <v>1491</v>
      </c>
      <c r="B80" s="423" t="s">
        <v>1492</v>
      </c>
      <c r="C80" s="245">
        <v>0</v>
      </c>
    </row>
    <row r="81" spans="1:4" x14ac:dyDescent="0.2">
      <c r="A81" s="422" t="s">
        <v>1493</v>
      </c>
      <c r="B81" s="423" t="s">
        <v>1494</v>
      </c>
      <c r="C81" s="245">
        <v>0</v>
      </c>
    </row>
    <row r="82" spans="1:4" x14ac:dyDescent="0.2">
      <c r="A82" s="415" t="s">
        <v>242</v>
      </c>
      <c r="B82" s="416" t="s">
        <v>243</v>
      </c>
      <c r="C82" s="245">
        <v>0</v>
      </c>
    </row>
    <row r="83" spans="1:4" x14ac:dyDescent="0.2">
      <c r="A83" s="415" t="s">
        <v>244</v>
      </c>
      <c r="B83" s="416" t="s">
        <v>928</v>
      </c>
      <c r="C83" s="237">
        <f>แบบบันทึกแม่ข่าย!F69+(-1*C93)</f>
        <v>0</v>
      </c>
      <c r="D83" s="124" t="s">
        <v>1359</v>
      </c>
    </row>
    <row r="84" spans="1:4" x14ac:dyDescent="0.2">
      <c r="A84" s="415" t="s">
        <v>245</v>
      </c>
      <c r="B84" s="416" t="s">
        <v>929</v>
      </c>
      <c r="C84" s="237">
        <f>แบบบันทึกแม่ข่าย!F70+(-1*C95)</f>
        <v>0</v>
      </c>
      <c r="D84" s="124" t="s">
        <v>677</v>
      </c>
    </row>
    <row r="85" spans="1:4" x14ac:dyDescent="0.2">
      <c r="A85" s="415" t="s">
        <v>246</v>
      </c>
      <c r="B85" s="416" t="s">
        <v>930</v>
      </c>
      <c r="C85" s="245">
        <v>0</v>
      </c>
    </row>
    <row r="86" spans="1:4" x14ac:dyDescent="0.2">
      <c r="A86" s="415" t="s">
        <v>247</v>
      </c>
      <c r="B86" s="416" t="s">
        <v>931</v>
      </c>
      <c r="C86" s="245">
        <v>0</v>
      </c>
    </row>
    <row r="87" spans="1:4" x14ac:dyDescent="0.2">
      <c r="A87" s="415" t="s">
        <v>1495</v>
      </c>
      <c r="B87" s="416" t="s">
        <v>1496</v>
      </c>
      <c r="C87" s="245">
        <v>0</v>
      </c>
    </row>
    <row r="88" spans="1:4" x14ac:dyDescent="0.2">
      <c r="A88" s="415" t="s">
        <v>1497</v>
      </c>
      <c r="B88" s="416" t="s">
        <v>1498</v>
      </c>
      <c r="C88" s="245">
        <v>0</v>
      </c>
    </row>
    <row r="89" spans="1:4" x14ac:dyDescent="0.2">
      <c r="A89" s="415" t="s">
        <v>248</v>
      </c>
      <c r="B89" s="416" t="s">
        <v>249</v>
      </c>
      <c r="C89" s="245">
        <v>0</v>
      </c>
    </row>
    <row r="90" spans="1:4" x14ac:dyDescent="0.2">
      <c r="A90" s="415" t="s">
        <v>250</v>
      </c>
      <c r="B90" s="416" t="s">
        <v>251</v>
      </c>
      <c r="C90" s="245">
        <v>0</v>
      </c>
    </row>
    <row r="91" spans="1:4" x14ac:dyDescent="0.2">
      <c r="A91" s="415" t="s">
        <v>252</v>
      </c>
      <c r="B91" s="416" t="s">
        <v>932</v>
      </c>
      <c r="C91" s="245">
        <v>0</v>
      </c>
    </row>
    <row r="92" spans="1:4" x14ac:dyDescent="0.2">
      <c r="A92" s="415" t="s">
        <v>253</v>
      </c>
      <c r="B92" s="416" t="s">
        <v>933</v>
      </c>
      <c r="C92" s="245">
        <v>0</v>
      </c>
    </row>
    <row r="93" spans="1:4" x14ac:dyDescent="0.2">
      <c r="A93" s="415" t="s">
        <v>254</v>
      </c>
      <c r="B93" s="416" t="s">
        <v>934</v>
      </c>
      <c r="C93" s="375">
        <f>กรอกเพิ่ม!F61</f>
        <v>0</v>
      </c>
      <c r="D93" s="376"/>
    </row>
    <row r="94" spans="1:4" x14ac:dyDescent="0.2">
      <c r="A94" s="415" t="s">
        <v>255</v>
      </c>
      <c r="B94" s="416" t="s">
        <v>935</v>
      </c>
      <c r="C94" s="245">
        <v>0</v>
      </c>
    </row>
    <row r="95" spans="1:4" x14ac:dyDescent="0.2">
      <c r="A95" s="415" t="s">
        <v>256</v>
      </c>
      <c r="B95" s="416" t="s">
        <v>1320</v>
      </c>
      <c r="C95" s="375">
        <f>กรอกเพิ่ม!F70</f>
        <v>0</v>
      </c>
      <c r="D95" s="376"/>
    </row>
    <row r="96" spans="1:4" x14ac:dyDescent="0.2">
      <c r="A96" s="415" t="s">
        <v>257</v>
      </c>
      <c r="B96" s="416" t="s">
        <v>1321</v>
      </c>
      <c r="C96" s="245">
        <v>0</v>
      </c>
    </row>
    <row r="97" spans="1:4" x14ac:dyDescent="0.2">
      <c r="A97" s="415" t="s">
        <v>936</v>
      </c>
      <c r="B97" s="424" t="s">
        <v>328</v>
      </c>
      <c r="C97" s="245">
        <v>0</v>
      </c>
    </row>
    <row r="98" spans="1:4" x14ac:dyDescent="0.2">
      <c r="A98" s="415" t="s">
        <v>937</v>
      </c>
      <c r="B98" s="416" t="s">
        <v>329</v>
      </c>
      <c r="C98" s="245">
        <v>0</v>
      </c>
    </row>
    <row r="99" spans="1:4" x14ac:dyDescent="0.2">
      <c r="A99" s="415" t="s">
        <v>258</v>
      </c>
      <c r="B99" s="416" t="s">
        <v>259</v>
      </c>
      <c r="C99" s="245">
        <v>0</v>
      </c>
    </row>
    <row r="100" spans="1:4" x14ac:dyDescent="0.2">
      <c r="A100" s="415" t="s">
        <v>260</v>
      </c>
      <c r="B100" s="416" t="s">
        <v>938</v>
      </c>
      <c r="C100" s="237">
        <f>แบบบันทึกแม่ข่าย!F75+(-1*C102)</f>
        <v>0</v>
      </c>
      <c r="D100" s="124" t="s">
        <v>1299</v>
      </c>
    </row>
    <row r="101" spans="1:4" x14ac:dyDescent="0.2">
      <c r="A101" s="415" t="s">
        <v>261</v>
      </c>
      <c r="B101" s="416" t="s">
        <v>939</v>
      </c>
      <c r="C101" s="237">
        <f>แบบบันทึกแม่ข่าย!F76+(-1*C103)</f>
        <v>0</v>
      </c>
      <c r="D101" s="124" t="s">
        <v>681</v>
      </c>
    </row>
    <row r="102" spans="1:4" x14ac:dyDescent="0.2">
      <c r="A102" s="415" t="s">
        <v>262</v>
      </c>
      <c r="B102" s="416" t="s">
        <v>940</v>
      </c>
      <c r="C102" s="375">
        <f>กรอกเพิ่ม!F62</f>
        <v>0</v>
      </c>
      <c r="D102" s="376"/>
    </row>
    <row r="103" spans="1:4" x14ac:dyDescent="0.2">
      <c r="A103" s="415" t="s">
        <v>263</v>
      </c>
      <c r="B103" s="416" t="s">
        <v>941</v>
      </c>
      <c r="C103" s="375">
        <f>กรอกเพิ่ม!F71</f>
        <v>0</v>
      </c>
      <c r="D103" s="376"/>
    </row>
    <row r="104" spans="1:4" x14ac:dyDescent="0.2">
      <c r="A104" s="415" t="s">
        <v>264</v>
      </c>
      <c r="B104" s="416" t="s">
        <v>1499</v>
      </c>
      <c r="C104" s="245">
        <v>0</v>
      </c>
    </row>
    <row r="105" spans="1:4" x14ac:dyDescent="0.2">
      <c r="A105" s="415" t="s">
        <v>942</v>
      </c>
      <c r="B105" s="416" t="s">
        <v>943</v>
      </c>
      <c r="C105" s="245">
        <v>0</v>
      </c>
    </row>
    <row r="106" spans="1:4" x14ac:dyDescent="0.2">
      <c r="A106" s="415" t="s">
        <v>944</v>
      </c>
      <c r="B106" s="416" t="s">
        <v>1500</v>
      </c>
      <c r="C106" s="245">
        <v>0</v>
      </c>
    </row>
    <row r="107" spans="1:4" x14ac:dyDescent="0.2">
      <c r="A107" s="415" t="s">
        <v>945</v>
      </c>
      <c r="B107" s="416" t="s">
        <v>1501</v>
      </c>
      <c r="C107" s="245">
        <v>0</v>
      </c>
    </row>
    <row r="108" spans="1:4" x14ac:dyDescent="0.2">
      <c r="A108" s="415" t="s">
        <v>946</v>
      </c>
      <c r="B108" s="425" t="s">
        <v>947</v>
      </c>
      <c r="C108" s="245">
        <v>0</v>
      </c>
    </row>
    <row r="109" spans="1:4" x14ac:dyDescent="0.2">
      <c r="A109" s="415" t="s">
        <v>948</v>
      </c>
      <c r="B109" s="416" t="s">
        <v>1502</v>
      </c>
      <c r="C109" s="245">
        <v>0</v>
      </c>
    </row>
    <row r="110" spans="1:4" x14ac:dyDescent="0.2">
      <c r="A110" s="415" t="s">
        <v>949</v>
      </c>
      <c r="B110" s="416" t="s">
        <v>950</v>
      </c>
      <c r="C110" s="245">
        <v>0</v>
      </c>
    </row>
    <row r="111" spans="1:4" x14ac:dyDescent="0.2">
      <c r="A111" s="415" t="s">
        <v>951</v>
      </c>
      <c r="B111" s="416" t="s">
        <v>952</v>
      </c>
      <c r="C111" s="245">
        <v>0</v>
      </c>
    </row>
    <row r="112" spans="1:4" x14ac:dyDescent="0.2">
      <c r="A112" s="415" t="s">
        <v>953</v>
      </c>
      <c r="B112" s="416" t="s">
        <v>330</v>
      </c>
      <c r="C112" s="245">
        <v>0</v>
      </c>
    </row>
    <row r="113" spans="1:4" x14ac:dyDescent="0.2">
      <c r="A113" s="415" t="s">
        <v>954</v>
      </c>
      <c r="B113" s="416" t="s">
        <v>955</v>
      </c>
      <c r="C113" s="245">
        <v>0</v>
      </c>
    </row>
    <row r="114" spans="1:4" x14ac:dyDescent="0.2">
      <c r="A114" s="415" t="s">
        <v>1322</v>
      </c>
      <c r="B114" s="416" t="s">
        <v>1323</v>
      </c>
      <c r="C114" s="245">
        <v>0</v>
      </c>
    </row>
    <row r="115" spans="1:4" x14ac:dyDescent="0.2">
      <c r="A115" s="415" t="s">
        <v>265</v>
      </c>
      <c r="B115" s="416" t="s">
        <v>956</v>
      </c>
      <c r="C115" s="245">
        <v>0</v>
      </c>
    </row>
    <row r="116" spans="1:4" x14ac:dyDescent="0.2">
      <c r="A116" s="415" t="s">
        <v>266</v>
      </c>
      <c r="B116" s="416" t="s">
        <v>957</v>
      </c>
      <c r="C116" s="245">
        <v>0</v>
      </c>
    </row>
    <row r="117" spans="1:4" x14ac:dyDescent="0.2">
      <c r="A117" s="415" t="s">
        <v>267</v>
      </c>
      <c r="B117" s="416" t="s">
        <v>958</v>
      </c>
      <c r="C117" s="245">
        <v>0</v>
      </c>
    </row>
    <row r="118" spans="1:4" x14ac:dyDescent="0.2">
      <c r="A118" s="415" t="s">
        <v>268</v>
      </c>
      <c r="B118" s="416" t="s">
        <v>269</v>
      </c>
      <c r="C118" s="245">
        <v>0</v>
      </c>
    </row>
    <row r="119" spans="1:4" x14ac:dyDescent="0.2">
      <c r="A119" s="415" t="s">
        <v>270</v>
      </c>
      <c r="B119" s="416" t="s">
        <v>271</v>
      </c>
      <c r="C119" s="245">
        <v>0</v>
      </c>
    </row>
    <row r="120" spans="1:4" x14ac:dyDescent="0.2">
      <c r="A120" s="415" t="s">
        <v>959</v>
      </c>
      <c r="B120" s="416" t="s">
        <v>960</v>
      </c>
      <c r="C120" s="237">
        <f>แบบบันทึกแม่ข่าย!F78</f>
        <v>0</v>
      </c>
      <c r="D120" s="124" t="s">
        <v>1360</v>
      </c>
    </row>
    <row r="121" spans="1:4" x14ac:dyDescent="0.2">
      <c r="A121" s="415" t="s">
        <v>961</v>
      </c>
      <c r="B121" s="416" t="s">
        <v>962</v>
      </c>
      <c r="C121" s="237">
        <f>แบบบันทึกแม่ข่าย!F79</f>
        <v>0</v>
      </c>
      <c r="D121" s="124" t="s">
        <v>679</v>
      </c>
    </row>
    <row r="122" spans="1:4" x14ac:dyDescent="0.2">
      <c r="A122" s="415" t="s">
        <v>963</v>
      </c>
      <c r="B122" s="416" t="s">
        <v>964</v>
      </c>
      <c r="C122" s="245">
        <v>0</v>
      </c>
    </row>
    <row r="123" spans="1:4" x14ac:dyDescent="0.2">
      <c r="A123" s="415" t="s">
        <v>965</v>
      </c>
      <c r="B123" s="416" t="s">
        <v>966</v>
      </c>
      <c r="C123" s="245">
        <v>0</v>
      </c>
    </row>
    <row r="124" spans="1:4" x14ac:dyDescent="0.2">
      <c r="A124" s="415" t="s">
        <v>272</v>
      </c>
      <c r="B124" s="416" t="s">
        <v>273</v>
      </c>
      <c r="C124" s="245">
        <v>0</v>
      </c>
    </row>
    <row r="125" spans="1:4" x14ac:dyDescent="0.2">
      <c r="A125" s="415" t="s">
        <v>274</v>
      </c>
      <c r="B125" s="416" t="s">
        <v>967</v>
      </c>
      <c r="C125" s="245">
        <v>0</v>
      </c>
    </row>
    <row r="126" spans="1:4" x14ac:dyDescent="0.2">
      <c r="A126" s="415" t="s">
        <v>275</v>
      </c>
      <c r="B126" s="416" t="s">
        <v>968</v>
      </c>
      <c r="C126" s="245">
        <v>0</v>
      </c>
    </row>
    <row r="127" spans="1:4" x14ac:dyDescent="0.2">
      <c r="A127" s="415" t="s">
        <v>276</v>
      </c>
      <c r="B127" s="424" t="s">
        <v>277</v>
      </c>
      <c r="C127" s="237">
        <f>แบบบันทึกแม่ข่าย!F28</f>
        <v>0</v>
      </c>
      <c r="D127" s="124" t="s">
        <v>870</v>
      </c>
    </row>
    <row r="128" spans="1:4" x14ac:dyDescent="0.2">
      <c r="A128" s="415" t="s">
        <v>278</v>
      </c>
      <c r="B128" s="424" t="s">
        <v>1503</v>
      </c>
      <c r="C128" s="245">
        <v>0</v>
      </c>
    </row>
    <row r="129" spans="1:4" x14ac:dyDescent="0.2">
      <c r="A129" s="415" t="s">
        <v>279</v>
      </c>
      <c r="B129" s="424" t="s">
        <v>280</v>
      </c>
      <c r="C129" s="245">
        <v>0</v>
      </c>
    </row>
    <row r="130" spans="1:4" x14ac:dyDescent="0.2">
      <c r="A130" s="415" t="s">
        <v>281</v>
      </c>
      <c r="B130" s="416" t="s">
        <v>282</v>
      </c>
      <c r="C130" s="245">
        <v>0</v>
      </c>
    </row>
    <row r="131" spans="1:4" x14ac:dyDescent="0.2">
      <c r="A131" s="415" t="s">
        <v>283</v>
      </c>
      <c r="B131" s="424" t="s">
        <v>969</v>
      </c>
      <c r="C131" s="237">
        <f>แบบบันทึกแม่ข่าย!F88</f>
        <v>0</v>
      </c>
      <c r="D131" s="124" t="s">
        <v>862</v>
      </c>
    </row>
    <row r="132" spans="1:4" x14ac:dyDescent="0.2">
      <c r="A132" s="415" t="s">
        <v>970</v>
      </c>
      <c r="B132" s="416" t="s">
        <v>971</v>
      </c>
      <c r="C132" s="245">
        <v>0</v>
      </c>
    </row>
    <row r="133" spans="1:4" x14ac:dyDescent="0.2">
      <c r="A133" s="415" t="s">
        <v>972</v>
      </c>
      <c r="B133" s="416" t="s">
        <v>973</v>
      </c>
      <c r="C133" s="245">
        <v>0</v>
      </c>
    </row>
    <row r="134" spans="1:4" x14ac:dyDescent="0.2">
      <c r="A134" s="415" t="s">
        <v>284</v>
      </c>
      <c r="B134" s="416" t="s">
        <v>974</v>
      </c>
      <c r="C134" s="245">
        <v>0</v>
      </c>
    </row>
    <row r="135" spans="1:4" x14ac:dyDescent="0.2">
      <c r="A135" s="415" t="s">
        <v>285</v>
      </c>
      <c r="B135" s="416" t="s">
        <v>286</v>
      </c>
      <c r="C135" s="245">
        <v>0</v>
      </c>
    </row>
    <row r="136" spans="1:4" x14ac:dyDescent="0.2">
      <c r="A136" s="415" t="s">
        <v>287</v>
      </c>
      <c r="B136" s="416" t="s">
        <v>288</v>
      </c>
      <c r="C136" s="245">
        <v>0</v>
      </c>
    </row>
    <row r="137" spans="1:4" x14ac:dyDescent="0.2">
      <c r="A137" s="415" t="s">
        <v>975</v>
      </c>
      <c r="B137" s="416" t="s">
        <v>976</v>
      </c>
      <c r="C137" s="245">
        <v>0</v>
      </c>
    </row>
    <row r="138" spans="1:4" x14ac:dyDescent="0.2">
      <c r="A138" s="415" t="s">
        <v>289</v>
      </c>
      <c r="B138" s="416" t="s">
        <v>977</v>
      </c>
      <c r="C138" s="237">
        <f>แบบบันทึกแม่ข่าย!F5+แบบบันทึกแม่ข่าย!F6+แบบบันทึกแม่ข่าย!F7+แบบบันทึกแม่ข่าย!F8+แบบบันทึกแม่ข่าย!F9+แบบบันทึกแม่ข่าย!F51</f>
        <v>0</v>
      </c>
      <c r="D138" s="378" t="s">
        <v>1362</v>
      </c>
    </row>
    <row r="139" spans="1:4" x14ac:dyDescent="0.2">
      <c r="A139" s="415" t="s">
        <v>290</v>
      </c>
      <c r="B139" s="416" t="s">
        <v>978</v>
      </c>
      <c r="C139" s="237">
        <f>แบบบันทึกแม่ข่าย!F15</f>
        <v>0</v>
      </c>
      <c r="D139" s="124" t="s">
        <v>1361</v>
      </c>
    </row>
    <row r="140" spans="1:4" x14ac:dyDescent="0.2">
      <c r="A140" s="415" t="s">
        <v>291</v>
      </c>
      <c r="B140" s="416" t="s">
        <v>979</v>
      </c>
      <c r="C140" s="237">
        <f>แบบบันทึกแม่ข่าย!F10+แบบบันทึกแม่ข่าย!F11+แบบบันทึกแม่ข่าย!F12+แบบบันทึกแม่ข่าย!F13</f>
        <v>0</v>
      </c>
      <c r="D140" s="124" t="s">
        <v>1363</v>
      </c>
    </row>
    <row r="141" spans="1:4" x14ac:dyDescent="0.2">
      <c r="A141" s="415" t="s">
        <v>292</v>
      </c>
      <c r="B141" s="416" t="s">
        <v>980</v>
      </c>
      <c r="C141" s="245">
        <v>0</v>
      </c>
    </row>
    <row r="142" spans="1:4" x14ac:dyDescent="0.2">
      <c r="A142" s="415" t="s">
        <v>293</v>
      </c>
      <c r="B142" s="416" t="s">
        <v>981</v>
      </c>
      <c r="C142" s="245">
        <v>0</v>
      </c>
    </row>
    <row r="143" spans="1:4" x14ac:dyDescent="0.2">
      <c r="A143" s="415" t="s">
        <v>294</v>
      </c>
      <c r="B143" s="416" t="s">
        <v>982</v>
      </c>
      <c r="C143" s="237">
        <f>แบบบันทึกแม่ข่าย!F14</f>
        <v>0</v>
      </c>
      <c r="D143" s="124" t="s">
        <v>869</v>
      </c>
    </row>
    <row r="144" spans="1:4" x14ac:dyDescent="0.2">
      <c r="A144" s="415" t="s">
        <v>295</v>
      </c>
      <c r="B144" s="416" t="s">
        <v>983</v>
      </c>
      <c r="C144" s="245">
        <v>0</v>
      </c>
    </row>
    <row r="145" spans="1:3" x14ac:dyDescent="0.2">
      <c r="A145" s="415" t="s">
        <v>1504</v>
      </c>
      <c r="B145" s="416" t="s">
        <v>1505</v>
      </c>
      <c r="C145" s="245">
        <v>0</v>
      </c>
    </row>
    <row r="146" spans="1:3" x14ac:dyDescent="0.2">
      <c r="A146" s="415" t="s">
        <v>984</v>
      </c>
      <c r="B146" s="416" t="s">
        <v>985</v>
      </c>
      <c r="C146" s="245">
        <v>0</v>
      </c>
    </row>
    <row r="147" spans="1:3" x14ac:dyDescent="0.2">
      <c r="A147" s="415" t="s">
        <v>986</v>
      </c>
      <c r="B147" s="416" t="s">
        <v>987</v>
      </c>
      <c r="C147" s="245">
        <v>0</v>
      </c>
    </row>
    <row r="148" spans="1:3" x14ac:dyDescent="0.2">
      <c r="A148" s="415" t="s">
        <v>988</v>
      </c>
      <c r="B148" s="416" t="s">
        <v>989</v>
      </c>
      <c r="C148" s="245">
        <v>0</v>
      </c>
    </row>
    <row r="149" spans="1:3" x14ac:dyDescent="0.2">
      <c r="A149" s="415" t="s">
        <v>296</v>
      </c>
      <c r="B149" s="416" t="s">
        <v>990</v>
      </c>
      <c r="C149" s="245">
        <v>0</v>
      </c>
    </row>
    <row r="150" spans="1:3" x14ac:dyDescent="0.2">
      <c r="A150" s="415" t="s">
        <v>991</v>
      </c>
      <c r="B150" s="416" t="s">
        <v>992</v>
      </c>
      <c r="C150" s="245">
        <v>0</v>
      </c>
    </row>
    <row r="151" spans="1:3" x14ac:dyDescent="0.2">
      <c r="A151" s="415" t="s">
        <v>297</v>
      </c>
      <c r="B151" s="416" t="s">
        <v>993</v>
      </c>
      <c r="C151" s="245">
        <v>0</v>
      </c>
    </row>
    <row r="152" spans="1:3" x14ac:dyDescent="0.2">
      <c r="A152" s="415" t="s">
        <v>1506</v>
      </c>
      <c r="B152" s="416" t="s">
        <v>1507</v>
      </c>
      <c r="C152" s="245">
        <v>0</v>
      </c>
    </row>
    <row r="153" spans="1:3" x14ac:dyDescent="0.2">
      <c r="A153" s="415" t="s">
        <v>298</v>
      </c>
      <c r="B153" s="416" t="s">
        <v>299</v>
      </c>
      <c r="C153" s="245">
        <v>0</v>
      </c>
    </row>
    <row r="154" spans="1:3" x14ac:dyDescent="0.2">
      <c r="A154" s="415" t="s">
        <v>300</v>
      </c>
      <c r="B154" s="416" t="s">
        <v>301</v>
      </c>
      <c r="C154" s="245">
        <v>0</v>
      </c>
    </row>
    <row r="155" spans="1:3" x14ac:dyDescent="0.2">
      <c r="A155" s="415" t="s">
        <v>302</v>
      </c>
      <c r="B155" s="416" t="s">
        <v>303</v>
      </c>
      <c r="C155" s="245">
        <v>0</v>
      </c>
    </row>
    <row r="156" spans="1:3" x14ac:dyDescent="0.2">
      <c r="A156" s="415" t="s">
        <v>304</v>
      </c>
      <c r="B156" s="416" t="s">
        <v>305</v>
      </c>
      <c r="C156" s="245">
        <v>0</v>
      </c>
    </row>
    <row r="157" spans="1:3" x14ac:dyDescent="0.2">
      <c r="A157" s="415" t="s">
        <v>306</v>
      </c>
      <c r="B157" s="416" t="s">
        <v>307</v>
      </c>
      <c r="C157" s="245">
        <v>0</v>
      </c>
    </row>
    <row r="158" spans="1:3" x14ac:dyDescent="0.2">
      <c r="A158" s="415" t="s">
        <v>308</v>
      </c>
      <c r="B158" s="416" t="s">
        <v>309</v>
      </c>
      <c r="C158" s="245">
        <v>0</v>
      </c>
    </row>
    <row r="159" spans="1:3" x14ac:dyDescent="0.2">
      <c r="A159" s="415" t="s">
        <v>310</v>
      </c>
      <c r="B159" s="416" t="s">
        <v>311</v>
      </c>
      <c r="C159" s="245">
        <v>0</v>
      </c>
    </row>
    <row r="160" spans="1:3" x14ac:dyDescent="0.2">
      <c r="A160" s="415" t="s">
        <v>312</v>
      </c>
      <c r="B160" s="416" t="s">
        <v>313</v>
      </c>
      <c r="C160" s="245">
        <v>0</v>
      </c>
    </row>
    <row r="161" spans="1:4" x14ac:dyDescent="0.2">
      <c r="A161" s="415" t="s">
        <v>314</v>
      </c>
      <c r="B161" s="416" t="s">
        <v>315</v>
      </c>
      <c r="C161" s="245">
        <v>0</v>
      </c>
    </row>
    <row r="162" spans="1:4" x14ac:dyDescent="0.2">
      <c r="A162" s="415" t="s">
        <v>316</v>
      </c>
      <c r="B162" s="416" t="s">
        <v>1508</v>
      </c>
      <c r="C162" s="245">
        <v>0</v>
      </c>
    </row>
    <row r="163" spans="1:4" x14ac:dyDescent="0.2">
      <c r="A163" s="415" t="s">
        <v>317</v>
      </c>
      <c r="B163" s="416" t="s">
        <v>994</v>
      </c>
      <c r="C163" s="245">
        <v>0</v>
      </c>
    </row>
    <row r="164" spans="1:4" x14ac:dyDescent="0.2">
      <c r="A164" s="415" t="s">
        <v>318</v>
      </c>
      <c r="B164" s="416" t="s">
        <v>1509</v>
      </c>
      <c r="C164" s="245">
        <v>0</v>
      </c>
    </row>
    <row r="165" spans="1:4" x14ac:dyDescent="0.2">
      <c r="A165" s="415" t="s">
        <v>319</v>
      </c>
      <c r="B165" s="416" t="s">
        <v>320</v>
      </c>
      <c r="C165" s="245">
        <v>0</v>
      </c>
    </row>
    <row r="166" spans="1:4" x14ac:dyDescent="0.2">
      <c r="A166" s="415" t="s">
        <v>321</v>
      </c>
      <c r="B166" s="416" t="s">
        <v>1510</v>
      </c>
      <c r="C166" s="245">
        <v>0</v>
      </c>
    </row>
    <row r="167" spans="1:4" x14ac:dyDescent="0.2">
      <c r="A167" s="415" t="s">
        <v>322</v>
      </c>
      <c r="B167" s="416" t="s">
        <v>1324</v>
      </c>
      <c r="C167" s="245">
        <v>0</v>
      </c>
    </row>
    <row r="168" spans="1:4" x14ac:dyDescent="0.2">
      <c r="A168" s="415" t="s">
        <v>323</v>
      </c>
      <c r="B168" s="416" t="s">
        <v>1511</v>
      </c>
      <c r="C168" s="245">
        <v>0</v>
      </c>
    </row>
    <row r="169" spans="1:4" x14ac:dyDescent="0.2">
      <c r="A169" s="415" t="s">
        <v>324</v>
      </c>
      <c r="B169" s="416" t="s">
        <v>1512</v>
      </c>
      <c r="C169" s="245">
        <v>0</v>
      </c>
    </row>
    <row r="170" spans="1:4" x14ac:dyDescent="0.2">
      <c r="A170" s="415" t="s">
        <v>325</v>
      </c>
      <c r="B170" s="416" t="s">
        <v>1513</v>
      </c>
      <c r="C170" s="245">
        <v>0</v>
      </c>
    </row>
    <row r="171" spans="1:4" x14ac:dyDescent="0.2">
      <c r="A171" s="415" t="s">
        <v>1514</v>
      </c>
      <c r="B171" s="416" t="s">
        <v>1515</v>
      </c>
      <c r="C171" s="245">
        <v>0</v>
      </c>
    </row>
    <row r="172" spans="1:4" x14ac:dyDescent="0.2">
      <c r="A172" s="415" t="s">
        <v>326</v>
      </c>
      <c r="B172" s="416" t="s">
        <v>327</v>
      </c>
      <c r="C172" s="237">
        <f>แบบบันทึกแม่ข่าย!F56</f>
        <v>0</v>
      </c>
      <c r="D172" s="124" t="s">
        <v>871</v>
      </c>
    </row>
    <row r="173" spans="1:4" x14ac:dyDescent="0.2">
      <c r="A173" s="415" t="s">
        <v>331</v>
      </c>
      <c r="B173" s="416" t="s">
        <v>332</v>
      </c>
      <c r="C173" s="237">
        <f>แบบบันทึกแม่ข่าย!F93</f>
        <v>0</v>
      </c>
      <c r="D173" s="124" t="s">
        <v>1364</v>
      </c>
    </row>
    <row r="174" spans="1:4" x14ac:dyDescent="0.2">
      <c r="A174" s="415" t="s">
        <v>333</v>
      </c>
      <c r="B174" s="416" t="s">
        <v>334</v>
      </c>
      <c r="C174" s="245">
        <v>0</v>
      </c>
    </row>
    <row r="175" spans="1:4" x14ac:dyDescent="0.2">
      <c r="A175" s="415" t="s">
        <v>335</v>
      </c>
      <c r="B175" s="416" t="s">
        <v>1516</v>
      </c>
      <c r="C175" s="245">
        <v>0</v>
      </c>
    </row>
    <row r="176" spans="1:4" x14ac:dyDescent="0.2">
      <c r="A176" s="415" t="s">
        <v>336</v>
      </c>
      <c r="B176" s="416" t="s">
        <v>337</v>
      </c>
      <c r="C176" s="237">
        <f>แบบบันทึกแม่ข่าย!F94</f>
        <v>0</v>
      </c>
      <c r="D176" s="124" t="s">
        <v>1365</v>
      </c>
    </row>
    <row r="177" spans="1:4" x14ac:dyDescent="0.2">
      <c r="A177" s="415" t="s">
        <v>338</v>
      </c>
      <c r="B177" s="416" t="s">
        <v>339</v>
      </c>
      <c r="C177" s="245">
        <v>0</v>
      </c>
    </row>
    <row r="178" spans="1:4" x14ac:dyDescent="0.2">
      <c r="A178" s="415" t="s">
        <v>340</v>
      </c>
      <c r="B178" s="416" t="s">
        <v>341</v>
      </c>
      <c r="C178" s="245">
        <v>0</v>
      </c>
    </row>
    <row r="179" spans="1:4" x14ac:dyDescent="0.2">
      <c r="A179" s="415" t="s">
        <v>342</v>
      </c>
      <c r="B179" s="416" t="s">
        <v>343</v>
      </c>
      <c r="C179" s="237">
        <f>แบบบันทึกแม่ข่าย!F97</f>
        <v>0</v>
      </c>
      <c r="D179" s="124" t="s">
        <v>1368</v>
      </c>
    </row>
    <row r="180" spans="1:4" x14ac:dyDescent="0.2">
      <c r="A180" s="415" t="s">
        <v>344</v>
      </c>
      <c r="B180" s="416" t="s">
        <v>345</v>
      </c>
      <c r="C180" s="245">
        <v>0</v>
      </c>
    </row>
    <row r="181" spans="1:4" x14ac:dyDescent="0.2">
      <c r="A181" s="415" t="s">
        <v>346</v>
      </c>
      <c r="B181" s="416" t="s">
        <v>347</v>
      </c>
      <c r="C181" s="245">
        <v>0</v>
      </c>
    </row>
    <row r="182" spans="1:4" x14ac:dyDescent="0.2">
      <c r="A182" s="415" t="s">
        <v>348</v>
      </c>
      <c r="B182" s="416" t="s">
        <v>349</v>
      </c>
      <c r="C182" s="245">
        <v>0</v>
      </c>
    </row>
    <row r="183" spans="1:4" x14ac:dyDescent="0.2">
      <c r="A183" s="415" t="s">
        <v>350</v>
      </c>
      <c r="B183" s="416" t="s">
        <v>351</v>
      </c>
      <c r="C183" s="237">
        <f>แบบบันทึกแม่ข่าย!F95</f>
        <v>0</v>
      </c>
      <c r="D183" s="124" t="s">
        <v>1366</v>
      </c>
    </row>
    <row r="184" spans="1:4" x14ac:dyDescent="0.2">
      <c r="A184" s="415" t="s">
        <v>352</v>
      </c>
      <c r="B184" s="416" t="s">
        <v>353</v>
      </c>
      <c r="C184" s="245">
        <v>0</v>
      </c>
    </row>
    <row r="185" spans="1:4" x14ac:dyDescent="0.2">
      <c r="A185" s="415" t="s">
        <v>354</v>
      </c>
      <c r="B185" s="416" t="s">
        <v>355</v>
      </c>
      <c r="C185" s="237">
        <f>แบบบันทึกแม่ข่าย!F103</f>
        <v>0</v>
      </c>
      <c r="D185" s="124" t="s">
        <v>873</v>
      </c>
    </row>
    <row r="186" spans="1:4" x14ac:dyDescent="0.2">
      <c r="A186" s="415" t="s">
        <v>356</v>
      </c>
      <c r="B186" s="416" t="s">
        <v>357</v>
      </c>
      <c r="C186" s="245">
        <v>0</v>
      </c>
    </row>
    <row r="187" spans="1:4" x14ac:dyDescent="0.2">
      <c r="A187" s="415" t="s">
        <v>358</v>
      </c>
      <c r="B187" s="416" t="s">
        <v>359</v>
      </c>
      <c r="C187" s="237">
        <f>แบบบันทึกแม่ข่าย!F104</f>
        <v>0</v>
      </c>
      <c r="D187" s="124" t="s">
        <v>688</v>
      </c>
    </row>
    <row r="188" spans="1:4" x14ac:dyDescent="0.2">
      <c r="A188" s="415" t="s">
        <v>360</v>
      </c>
      <c r="B188" s="416" t="s">
        <v>361</v>
      </c>
      <c r="C188" s="245">
        <v>0</v>
      </c>
    </row>
    <row r="189" spans="1:4" x14ac:dyDescent="0.2">
      <c r="A189" s="415" t="s">
        <v>362</v>
      </c>
      <c r="B189" s="416" t="s">
        <v>363</v>
      </c>
      <c r="C189" s="245">
        <v>0</v>
      </c>
    </row>
    <row r="190" spans="1:4" x14ac:dyDescent="0.2">
      <c r="A190" s="415" t="s">
        <v>364</v>
      </c>
      <c r="B190" s="416" t="s">
        <v>365</v>
      </c>
      <c r="C190" s="245">
        <v>0</v>
      </c>
    </row>
    <row r="191" spans="1:4" x14ac:dyDescent="0.2">
      <c r="A191" s="415" t="s">
        <v>366</v>
      </c>
      <c r="B191" s="416" t="s">
        <v>995</v>
      </c>
      <c r="C191" s="237">
        <f>แบบบันทึกแม่ข่าย!F96</f>
        <v>0</v>
      </c>
      <c r="D191" s="124" t="s">
        <v>1367</v>
      </c>
    </row>
    <row r="192" spans="1:4" x14ac:dyDescent="0.2">
      <c r="A192" s="415" t="s">
        <v>367</v>
      </c>
      <c r="B192" s="416" t="s">
        <v>1325</v>
      </c>
      <c r="C192" s="245">
        <v>0</v>
      </c>
    </row>
    <row r="193" spans="1:5" x14ac:dyDescent="0.2">
      <c r="A193" s="415" t="s">
        <v>368</v>
      </c>
      <c r="B193" s="425" t="s">
        <v>996</v>
      </c>
      <c r="C193" s="245">
        <v>0</v>
      </c>
    </row>
    <row r="194" spans="1:5" x14ac:dyDescent="0.2">
      <c r="A194" s="415" t="s">
        <v>369</v>
      </c>
      <c r="B194" s="425" t="s">
        <v>997</v>
      </c>
      <c r="C194" s="245">
        <v>0</v>
      </c>
    </row>
    <row r="195" spans="1:5" x14ac:dyDescent="0.2">
      <c r="A195" s="415" t="s">
        <v>370</v>
      </c>
      <c r="B195" s="425" t="s">
        <v>998</v>
      </c>
      <c r="C195" s="245">
        <v>0</v>
      </c>
    </row>
    <row r="196" spans="1:5" x14ac:dyDescent="0.2">
      <c r="A196" s="415" t="s">
        <v>371</v>
      </c>
      <c r="B196" s="425" t="s">
        <v>999</v>
      </c>
      <c r="C196" s="245">
        <v>0</v>
      </c>
    </row>
    <row r="197" spans="1:5" x14ac:dyDescent="0.2">
      <c r="A197" s="415" t="s">
        <v>372</v>
      </c>
      <c r="B197" s="425" t="s">
        <v>1000</v>
      </c>
      <c r="C197" s="245">
        <v>0</v>
      </c>
    </row>
    <row r="198" spans="1:5" x14ac:dyDescent="0.2">
      <c r="A198" s="415" t="s">
        <v>373</v>
      </c>
      <c r="B198" s="425" t="s">
        <v>1001</v>
      </c>
      <c r="C198" s="245">
        <v>0</v>
      </c>
    </row>
    <row r="199" spans="1:5" x14ac:dyDescent="0.2">
      <c r="A199" s="415" t="s">
        <v>1002</v>
      </c>
      <c r="B199" s="425" t="s">
        <v>1003</v>
      </c>
      <c r="C199" s="245">
        <v>0</v>
      </c>
    </row>
    <row r="200" spans="1:5" x14ac:dyDescent="0.2">
      <c r="A200" s="415" t="s">
        <v>1004</v>
      </c>
      <c r="B200" s="425" t="s">
        <v>1005</v>
      </c>
      <c r="C200" s="245">
        <v>0</v>
      </c>
    </row>
    <row r="201" spans="1:5" x14ac:dyDescent="0.2">
      <c r="A201" s="415" t="s">
        <v>1006</v>
      </c>
      <c r="B201" s="425" t="s">
        <v>1007</v>
      </c>
      <c r="C201" s="245">
        <v>0</v>
      </c>
    </row>
    <row r="202" spans="1:5" x14ac:dyDescent="0.2">
      <c r="A202" s="415" t="s">
        <v>374</v>
      </c>
      <c r="B202" s="416" t="s">
        <v>1517</v>
      </c>
      <c r="C202" s="245">
        <v>0</v>
      </c>
    </row>
    <row r="203" spans="1:5" x14ac:dyDescent="0.2">
      <c r="A203" s="415" t="s">
        <v>1518</v>
      </c>
      <c r="B203" s="416" t="s">
        <v>1519</v>
      </c>
      <c r="C203" s="245">
        <v>0</v>
      </c>
    </row>
    <row r="204" spans="1:5" x14ac:dyDescent="0.2">
      <c r="A204" s="415" t="s">
        <v>375</v>
      </c>
      <c r="B204" s="416" t="s">
        <v>376</v>
      </c>
      <c r="C204" s="245">
        <v>0</v>
      </c>
    </row>
    <row r="205" spans="1:5" x14ac:dyDescent="0.2">
      <c r="A205" s="415" t="s">
        <v>377</v>
      </c>
      <c r="B205" s="416" t="s">
        <v>378</v>
      </c>
      <c r="C205" s="245">
        <v>0</v>
      </c>
    </row>
    <row r="206" spans="1:5" x14ac:dyDescent="0.2">
      <c r="A206" s="415" t="s">
        <v>379</v>
      </c>
      <c r="B206" s="416" t="s">
        <v>380</v>
      </c>
      <c r="C206" s="237">
        <f>แบบบันทึกแม่ข่าย!F101</f>
        <v>0</v>
      </c>
      <c r="D206" s="124" t="s">
        <v>872</v>
      </c>
      <c r="E206" s="395"/>
    </row>
    <row r="207" spans="1:5" x14ac:dyDescent="0.2">
      <c r="A207" s="415" t="s">
        <v>381</v>
      </c>
      <c r="B207" s="416" t="s">
        <v>382</v>
      </c>
      <c r="C207" s="245">
        <v>0</v>
      </c>
    </row>
    <row r="208" spans="1:5" x14ac:dyDescent="0.2">
      <c r="A208" s="415" t="s">
        <v>1326</v>
      </c>
      <c r="B208" s="416" t="s">
        <v>1327</v>
      </c>
      <c r="C208" s="245">
        <v>0</v>
      </c>
    </row>
    <row r="209" spans="1:5" x14ac:dyDescent="0.2">
      <c r="A209" s="415" t="s">
        <v>1328</v>
      </c>
      <c r="B209" s="416" t="s">
        <v>1329</v>
      </c>
      <c r="C209" s="237">
        <f>แบบบันทึกแม่ข่าย!F105</f>
        <v>0</v>
      </c>
      <c r="D209" s="124" t="s">
        <v>690</v>
      </c>
      <c r="E209" s="395"/>
    </row>
    <row r="210" spans="1:5" x14ac:dyDescent="0.2">
      <c r="A210" s="415" t="s">
        <v>383</v>
      </c>
      <c r="B210" s="416" t="s">
        <v>384</v>
      </c>
      <c r="C210" s="245">
        <v>0</v>
      </c>
    </row>
    <row r="211" spans="1:5" x14ac:dyDescent="0.2">
      <c r="A211" s="415" t="s">
        <v>385</v>
      </c>
      <c r="B211" s="416" t="s">
        <v>1520</v>
      </c>
      <c r="C211" s="245">
        <v>0</v>
      </c>
    </row>
    <row r="212" spans="1:5" x14ac:dyDescent="0.2">
      <c r="A212" s="415" t="s">
        <v>387</v>
      </c>
      <c r="B212" s="416" t="s">
        <v>1521</v>
      </c>
      <c r="C212" s="237">
        <f>แบบบันทึกแม่ข่าย!F100</f>
        <v>0</v>
      </c>
      <c r="D212" s="124" t="s">
        <v>1369</v>
      </c>
      <c r="E212" s="372"/>
    </row>
    <row r="213" spans="1:5" x14ac:dyDescent="0.2">
      <c r="A213" s="415" t="s">
        <v>388</v>
      </c>
      <c r="B213" s="416" t="s">
        <v>1522</v>
      </c>
      <c r="C213" s="237">
        <f>แบบบันทึกแม่ข่าย!F107</f>
        <v>0</v>
      </c>
      <c r="D213" s="124" t="s">
        <v>1370</v>
      </c>
      <c r="E213" s="372"/>
    </row>
    <row r="214" spans="1:5" x14ac:dyDescent="0.2">
      <c r="A214" s="415" t="s">
        <v>1523</v>
      </c>
      <c r="B214" s="416" t="s">
        <v>1010</v>
      </c>
      <c r="C214" s="245">
        <v>0</v>
      </c>
    </row>
    <row r="215" spans="1:5" x14ac:dyDescent="0.2">
      <c r="A215" s="415" t="s">
        <v>1524</v>
      </c>
      <c r="B215" s="416" t="s">
        <v>1011</v>
      </c>
      <c r="C215" s="245">
        <v>0</v>
      </c>
    </row>
    <row r="216" spans="1:5" x14ac:dyDescent="0.2">
      <c r="A216" s="415" t="s">
        <v>1008</v>
      </c>
      <c r="B216" s="426" t="s">
        <v>1009</v>
      </c>
      <c r="C216" s="245">
        <v>0</v>
      </c>
    </row>
    <row r="217" spans="1:5" x14ac:dyDescent="0.2">
      <c r="A217" s="415" t="s">
        <v>1336</v>
      </c>
      <c r="B217" s="426" t="s">
        <v>1525</v>
      </c>
      <c r="C217" s="245">
        <v>0</v>
      </c>
    </row>
    <row r="218" spans="1:5" x14ac:dyDescent="0.2">
      <c r="A218" s="415" t="s">
        <v>1337</v>
      </c>
      <c r="B218" s="426" t="s">
        <v>1526</v>
      </c>
      <c r="C218" s="245">
        <v>0</v>
      </c>
    </row>
    <row r="219" spans="1:5" x14ac:dyDescent="0.2">
      <c r="A219" s="427" t="s">
        <v>1527</v>
      </c>
      <c r="B219" s="427" t="s">
        <v>1528</v>
      </c>
      <c r="C219" s="245"/>
    </row>
    <row r="220" spans="1:5" x14ac:dyDescent="0.2">
      <c r="A220" s="415" t="s">
        <v>389</v>
      </c>
      <c r="B220" s="426" t="s">
        <v>390</v>
      </c>
      <c r="C220" s="237">
        <f>แบบบันทึกแม่ข่าย!F114</f>
        <v>0</v>
      </c>
      <c r="D220" s="124" t="s">
        <v>692</v>
      </c>
    </row>
    <row r="221" spans="1:5" x14ac:dyDescent="0.2">
      <c r="A221" s="415" t="s">
        <v>391</v>
      </c>
      <c r="B221" s="426" t="s">
        <v>1529</v>
      </c>
      <c r="C221" s="245">
        <v>0</v>
      </c>
    </row>
    <row r="222" spans="1:5" x14ac:dyDescent="0.2">
      <c r="A222" s="415" t="s">
        <v>1012</v>
      </c>
      <c r="B222" s="426" t="s">
        <v>1530</v>
      </c>
      <c r="C222" s="245">
        <v>0</v>
      </c>
    </row>
    <row r="223" spans="1:5" x14ac:dyDescent="0.2">
      <c r="A223" s="415" t="s">
        <v>392</v>
      </c>
      <c r="B223" s="416" t="s">
        <v>1531</v>
      </c>
      <c r="C223" s="245">
        <v>0</v>
      </c>
    </row>
    <row r="224" spans="1:5" x14ac:dyDescent="0.2">
      <c r="A224" s="415" t="s">
        <v>393</v>
      </c>
      <c r="B224" s="416" t="s">
        <v>1532</v>
      </c>
      <c r="C224" s="245">
        <v>0</v>
      </c>
    </row>
    <row r="225" spans="1:3" x14ac:dyDescent="0.2">
      <c r="A225" s="415" t="s">
        <v>394</v>
      </c>
      <c r="B225" s="416" t="s">
        <v>1013</v>
      </c>
      <c r="C225" s="245">
        <v>0</v>
      </c>
    </row>
    <row r="226" spans="1:3" x14ac:dyDescent="0.2">
      <c r="A226" s="415" t="s">
        <v>395</v>
      </c>
      <c r="B226" s="416" t="s">
        <v>396</v>
      </c>
      <c r="C226" s="245">
        <v>0</v>
      </c>
    </row>
    <row r="227" spans="1:3" x14ac:dyDescent="0.2">
      <c r="A227" s="415" t="s">
        <v>397</v>
      </c>
      <c r="B227" s="416" t="s">
        <v>398</v>
      </c>
      <c r="C227" s="245">
        <v>0</v>
      </c>
    </row>
    <row r="228" spans="1:3" x14ac:dyDescent="0.2">
      <c r="A228" s="415" t="s">
        <v>399</v>
      </c>
      <c r="B228" s="416" t="s">
        <v>400</v>
      </c>
      <c r="C228" s="245">
        <v>0</v>
      </c>
    </row>
    <row r="229" spans="1:3" x14ac:dyDescent="0.2">
      <c r="A229" s="415" t="s">
        <v>401</v>
      </c>
      <c r="B229" s="416" t="s">
        <v>390</v>
      </c>
      <c r="C229" s="245">
        <v>0</v>
      </c>
    </row>
    <row r="230" spans="1:3" x14ac:dyDescent="0.2">
      <c r="A230" s="415" t="s">
        <v>402</v>
      </c>
      <c r="B230" s="416" t="s">
        <v>1533</v>
      </c>
      <c r="C230" s="245">
        <v>0</v>
      </c>
    </row>
    <row r="231" spans="1:3" x14ac:dyDescent="0.2">
      <c r="A231" s="415" t="s">
        <v>1014</v>
      </c>
      <c r="B231" s="416" t="s">
        <v>1534</v>
      </c>
      <c r="C231" s="245">
        <v>0</v>
      </c>
    </row>
    <row r="232" spans="1:3" x14ac:dyDescent="0.2">
      <c r="A232" s="415" t="s">
        <v>403</v>
      </c>
      <c r="B232" s="416" t="s">
        <v>1535</v>
      </c>
      <c r="C232" s="245">
        <v>0</v>
      </c>
    </row>
    <row r="233" spans="1:3" x14ac:dyDescent="0.2">
      <c r="A233" s="415" t="s">
        <v>404</v>
      </c>
      <c r="B233" s="416" t="s">
        <v>1536</v>
      </c>
      <c r="C233" s="245">
        <v>0</v>
      </c>
    </row>
    <row r="234" spans="1:3" x14ac:dyDescent="0.2">
      <c r="A234" s="415" t="s">
        <v>405</v>
      </c>
      <c r="B234" s="416" t="s">
        <v>1537</v>
      </c>
      <c r="C234" s="245">
        <v>0</v>
      </c>
    </row>
    <row r="235" spans="1:3" x14ac:dyDescent="0.2">
      <c r="A235" s="415" t="s">
        <v>406</v>
      </c>
      <c r="B235" s="416" t="s">
        <v>1338</v>
      </c>
      <c r="C235" s="245">
        <v>0</v>
      </c>
    </row>
    <row r="236" spans="1:3" x14ac:dyDescent="0.2">
      <c r="A236" s="415" t="s">
        <v>1339</v>
      </c>
      <c r="B236" s="416" t="s">
        <v>1538</v>
      </c>
      <c r="C236" s="245">
        <v>0</v>
      </c>
    </row>
    <row r="237" spans="1:3" x14ac:dyDescent="0.2">
      <c r="A237" s="415" t="s">
        <v>407</v>
      </c>
      <c r="B237" s="416" t="s">
        <v>1539</v>
      </c>
      <c r="C237" s="245">
        <v>0</v>
      </c>
    </row>
    <row r="238" spans="1:3" x14ac:dyDescent="0.2">
      <c r="A238" s="415" t="s">
        <v>1340</v>
      </c>
      <c r="B238" s="416" t="s">
        <v>1540</v>
      </c>
      <c r="C238" s="245">
        <v>0</v>
      </c>
    </row>
    <row r="239" spans="1:3" x14ac:dyDescent="0.2">
      <c r="A239" s="415" t="s">
        <v>408</v>
      </c>
      <c r="B239" s="416" t="s">
        <v>1341</v>
      </c>
      <c r="C239" s="245">
        <v>0</v>
      </c>
    </row>
    <row r="240" spans="1:3" x14ac:dyDescent="0.2">
      <c r="A240" s="415" t="s">
        <v>1342</v>
      </c>
      <c r="B240" s="416" t="s">
        <v>1343</v>
      </c>
      <c r="C240" s="245">
        <v>0</v>
      </c>
    </row>
    <row r="241" spans="1:4" x14ac:dyDescent="0.2">
      <c r="A241" s="415" t="s">
        <v>409</v>
      </c>
      <c r="B241" s="416" t="s">
        <v>1344</v>
      </c>
      <c r="C241" s="245">
        <v>0</v>
      </c>
    </row>
    <row r="242" spans="1:4" x14ac:dyDescent="0.2">
      <c r="A242" s="415" t="s">
        <v>1345</v>
      </c>
      <c r="B242" s="416" t="s">
        <v>1346</v>
      </c>
      <c r="C242" s="245">
        <v>0</v>
      </c>
    </row>
    <row r="243" spans="1:4" x14ac:dyDescent="0.2">
      <c r="A243" s="415" t="s">
        <v>410</v>
      </c>
      <c r="B243" s="416" t="s">
        <v>1347</v>
      </c>
      <c r="C243" s="237">
        <f>แบบบันทึกแม่ข่าย!F118</f>
        <v>0</v>
      </c>
      <c r="D243" s="124" t="s">
        <v>1396</v>
      </c>
    </row>
    <row r="244" spans="1:4" x14ac:dyDescent="0.2">
      <c r="A244" s="415" t="s">
        <v>1348</v>
      </c>
      <c r="B244" s="416" t="s">
        <v>1349</v>
      </c>
      <c r="C244" s="245">
        <v>0</v>
      </c>
    </row>
    <row r="245" spans="1:4" x14ac:dyDescent="0.2">
      <c r="A245" s="415" t="s">
        <v>1015</v>
      </c>
      <c r="B245" s="416" t="s">
        <v>476</v>
      </c>
      <c r="C245" s="237">
        <f>แบบบันทึกแม่ข่าย!F131</f>
        <v>0</v>
      </c>
      <c r="D245" s="124" t="s">
        <v>695</v>
      </c>
    </row>
    <row r="246" spans="1:4" x14ac:dyDescent="0.2">
      <c r="A246" s="415" t="s">
        <v>1016</v>
      </c>
      <c r="B246" s="416" t="s">
        <v>477</v>
      </c>
      <c r="C246" s="237">
        <f>แบบบันทึกแม่ข่าย!F132</f>
        <v>0</v>
      </c>
      <c r="D246" s="124" t="s">
        <v>1074</v>
      </c>
    </row>
    <row r="247" spans="1:4" x14ac:dyDescent="0.2">
      <c r="A247" s="415" t="s">
        <v>1017</v>
      </c>
      <c r="B247" s="416" t="s">
        <v>479</v>
      </c>
      <c r="C247" s="237">
        <f>แบบบันทึกแม่ข่าย!F134</f>
        <v>0</v>
      </c>
      <c r="D247" s="124" t="s">
        <v>1379</v>
      </c>
    </row>
    <row r="248" spans="1:4" x14ac:dyDescent="0.2">
      <c r="A248" s="415" t="s">
        <v>1018</v>
      </c>
      <c r="B248" s="416" t="s">
        <v>480</v>
      </c>
      <c r="C248" s="237">
        <f>แบบบันทึกแม่ข่าย!F135</f>
        <v>0</v>
      </c>
      <c r="D248" s="124" t="s">
        <v>699</v>
      </c>
    </row>
    <row r="249" spans="1:4" x14ac:dyDescent="0.2">
      <c r="A249" s="415" t="s">
        <v>1019</v>
      </c>
      <c r="B249" s="416" t="s">
        <v>1032</v>
      </c>
      <c r="C249" s="237">
        <f>แบบบันทึกแม่ข่าย!F136</f>
        <v>0</v>
      </c>
      <c r="D249" s="124" t="s">
        <v>700</v>
      </c>
    </row>
    <row r="250" spans="1:4" x14ac:dyDescent="0.2">
      <c r="A250" s="415" t="s">
        <v>1020</v>
      </c>
      <c r="B250" s="416" t="s">
        <v>482</v>
      </c>
      <c r="C250" s="237">
        <f>แบบบันทึกแม่ข่าย!F137</f>
        <v>0</v>
      </c>
      <c r="D250" s="124" t="s">
        <v>1072</v>
      </c>
    </row>
    <row r="251" spans="1:4" x14ac:dyDescent="0.2">
      <c r="A251" s="415" t="s">
        <v>1021</v>
      </c>
      <c r="B251" s="416" t="s">
        <v>487</v>
      </c>
      <c r="C251" s="237">
        <f>แบบบันทึกแม่ข่าย!F140</f>
        <v>0</v>
      </c>
      <c r="D251" s="124" t="s">
        <v>697</v>
      </c>
    </row>
    <row r="252" spans="1:4" x14ac:dyDescent="0.2">
      <c r="A252" s="415" t="s">
        <v>1022</v>
      </c>
      <c r="B252" s="416" t="s">
        <v>488</v>
      </c>
      <c r="C252" s="237">
        <f>แบบบันทึกแม่ข่าย!F141</f>
        <v>0</v>
      </c>
      <c r="D252" s="124" t="s">
        <v>1076</v>
      </c>
    </row>
    <row r="253" spans="1:4" x14ac:dyDescent="0.2">
      <c r="A253" s="415" t="s">
        <v>1023</v>
      </c>
      <c r="B253" s="416" t="s">
        <v>489</v>
      </c>
      <c r="C253" s="245">
        <v>0</v>
      </c>
    </row>
    <row r="254" spans="1:4" x14ac:dyDescent="0.2">
      <c r="A254" s="415" t="s">
        <v>411</v>
      </c>
      <c r="B254" s="416" t="s">
        <v>412</v>
      </c>
      <c r="C254" s="237">
        <f>แบบบันทึกแม่ข่าย!F121</f>
        <v>0</v>
      </c>
      <c r="D254" s="124" t="s">
        <v>1373</v>
      </c>
    </row>
    <row r="255" spans="1:4" x14ac:dyDescent="0.2">
      <c r="A255" s="415" t="s">
        <v>413</v>
      </c>
      <c r="B255" s="416" t="s">
        <v>414</v>
      </c>
      <c r="C255" s="245">
        <v>0</v>
      </c>
    </row>
    <row r="256" spans="1:4" x14ac:dyDescent="0.2">
      <c r="A256" s="415" t="s">
        <v>415</v>
      </c>
      <c r="B256" s="416" t="s">
        <v>416</v>
      </c>
      <c r="C256" s="245">
        <v>0</v>
      </c>
    </row>
    <row r="257" spans="1:4" x14ac:dyDescent="0.2">
      <c r="A257" s="415" t="s">
        <v>417</v>
      </c>
      <c r="B257" s="416" t="s">
        <v>418</v>
      </c>
      <c r="C257" s="245">
        <v>0</v>
      </c>
    </row>
    <row r="258" spans="1:4" x14ac:dyDescent="0.2">
      <c r="A258" s="415" t="s">
        <v>419</v>
      </c>
      <c r="B258" s="416" t="s">
        <v>420</v>
      </c>
      <c r="C258" s="245">
        <v>0</v>
      </c>
    </row>
    <row r="259" spans="1:4" x14ac:dyDescent="0.2">
      <c r="A259" s="415" t="s">
        <v>421</v>
      </c>
      <c r="B259" s="416" t="s">
        <v>422</v>
      </c>
      <c r="C259" s="245">
        <v>0</v>
      </c>
    </row>
    <row r="260" spans="1:4" x14ac:dyDescent="0.2">
      <c r="A260" s="415" t="s">
        <v>423</v>
      </c>
      <c r="B260" s="416" t="s">
        <v>424</v>
      </c>
      <c r="C260" s="245">
        <v>0</v>
      </c>
    </row>
    <row r="261" spans="1:4" x14ac:dyDescent="0.2">
      <c r="A261" s="415" t="s">
        <v>425</v>
      </c>
      <c r="B261" s="416" t="s">
        <v>426</v>
      </c>
      <c r="C261" s="245">
        <v>0</v>
      </c>
    </row>
    <row r="262" spans="1:4" x14ac:dyDescent="0.2">
      <c r="A262" s="415" t="s">
        <v>427</v>
      </c>
      <c r="B262" s="416" t="s">
        <v>428</v>
      </c>
      <c r="C262" s="245">
        <v>0</v>
      </c>
    </row>
    <row r="263" spans="1:4" x14ac:dyDescent="0.2">
      <c r="A263" s="415" t="s">
        <v>429</v>
      </c>
      <c r="B263" s="416" t="s">
        <v>430</v>
      </c>
      <c r="C263" s="245">
        <v>0</v>
      </c>
    </row>
    <row r="264" spans="1:4" x14ac:dyDescent="0.2">
      <c r="A264" s="415" t="s">
        <v>431</v>
      </c>
      <c r="B264" s="416" t="s">
        <v>1024</v>
      </c>
      <c r="C264" s="245">
        <v>0</v>
      </c>
    </row>
    <row r="265" spans="1:4" x14ac:dyDescent="0.2">
      <c r="A265" s="415" t="s">
        <v>432</v>
      </c>
      <c r="B265" s="416" t="s">
        <v>433</v>
      </c>
      <c r="C265" s="245">
        <v>0</v>
      </c>
    </row>
    <row r="266" spans="1:4" x14ac:dyDescent="0.2">
      <c r="A266" s="415" t="s">
        <v>434</v>
      </c>
      <c r="B266" s="416" t="s">
        <v>435</v>
      </c>
      <c r="C266" s="237">
        <f>แบบบันทึกแม่ข่าย!F120</f>
        <v>0</v>
      </c>
      <c r="D266" s="124" t="s">
        <v>1375</v>
      </c>
    </row>
    <row r="267" spans="1:4" x14ac:dyDescent="0.2">
      <c r="A267" s="415" t="s">
        <v>1025</v>
      </c>
      <c r="B267" s="416" t="s">
        <v>1026</v>
      </c>
      <c r="C267" s="237">
        <f>แบบบันทึกแม่ข่าย!F133</f>
        <v>0</v>
      </c>
      <c r="D267" s="124" t="s">
        <v>696</v>
      </c>
    </row>
    <row r="268" spans="1:4" x14ac:dyDescent="0.2">
      <c r="A268" s="415" t="s">
        <v>436</v>
      </c>
      <c r="B268" s="416" t="s">
        <v>437</v>
      </c>
      <c r="C268" s="237">
        <f>แบบบันทึกแม่ข่าย!F112</f>
        <v>0</v>
      </c>
      <c r="D268" s="124" t="s">
        <v>724</v>
      </c>
    </row>
    <row r="269" spans="1:4" x14ac:dyDescent="0.2">
      <c r="A269" s="415" t="s">
        <v>438</v>
      </c>
      <c r="B269" s="416" t="s">
        <v>439</v>
      </c>
      <c r="C269" s="245">
        <v>0</v>
      </c>
    </row>
    <row r="270" spans="1:4" x14ac:dyDescent="0.2">
      <c r="A270" s="415" t="s">
        <v>440</v>
      </c>
      <c r="B270" s="416" t="s">
        <v>441</v>
      </c>
      <c r="C270" s="245">
        <v>0</v>
      </c>
    </row>
    <row r="271" spans="1:4" x14ac:dyDescent="0.2">
      <c r="A271" t="s">
        <v>442</v>
      </c>
      <c r="B271" t="s">
        <v>443</v>
      </c>
      <c r="C271" s="245">
        <v>0</v>
      </c>
    </row>
    <row r="272" spans="1:4" x14ac:dyDescent="0.2">
      <c r="A272" s="415" t="s">
        <v>444</v>
      </c>
      <c r="B272" s="416" t="s">
        <v>445</v>
      </c>
      <c r="C272" s="245">
        <v>0</v>
      </c>
    </row>
    <row r="273" spans="1:4" x14ac:dyDescent="0.2">
      <c r="A273" s="415" t="s">
        <v>446</v>
      </c>
      <c r="B273" s="416" t="s">
        <v>447</v>
      </c>
      <c r="C273" s="245">
        <v>0</v>
      </c>
    </row>
    <row r="274" spans="1:4" x14ac:dyDescent="0.2">
      <c r="A274" s="415" t="s">
        <v>448</v>
      </c>
      <c r="B274" s="416" t="s">
        <v>1027</v>
      </c>
      <c r="C274" s="237">
        <f>แบบบันทึกแม่ข่าย!F122</f>
        <v>0</v>
      </c>
      <c r="D274" s="124" t="s">
        <v>875</v>
      </c>
    </row>
    <row r="275" spans="1:4" x14ac:dyDescent="0.2">
      <c r="A275" s="428" t="s">
        <v>449</v>
      </c>
      <c r="B275" s="416" t="s">
        <v>1028</v>
      </c>
      <c r="C275" s="245">
        <v>0</v>
      </c>
    </row>
    <row r="276" spans="1:4" x14ac:dyDescent="0.2">
      <c r="A276" s="415" t="s">
        <v>450</v>
      </c>
      <c r="B276" s="426" t="s">
        <v>451</v>
      </c>
      <c r="C276" s="237">
        <f>แบบบันทึกแม่ข่าย!F123</f>
        <v>0</v>
      </c>
      <c r="D276" s="124" t="s">
        <v>1080</v>
      </c>
    </row>
    <row r="277" spans="1:4" x14ac:dyDescent="0.2">
      <c r="A277" s="415" t="s">
        <v>452</v>
      </c>
      <c r="B277" s="416" t="s">
        <v>453</v>
      </c>
      <c r="C277" s="237">
        <f>แบบบันทึกแม่ข่าย!F124</f>
        <v>0</v>
      </c>
      <c r="D277" s="124" t="s">
        <v>1376</v>
      </c>
    </row>
    <row r="278" spans="1:4" x14ac:dyDescent="0.2">
      <c r="A278" s="415" t="s">
        <v>454</v>
      </c>
      <c r="B278" s="416" t="s">
        <v>455</v>
      </c>
      <c r="C278" s="245">
        <v>0</v>
      </c>
    </row>
    <row r="279" spans="1:4" x14ac:dyDescent="0.2">
      <c r="A279" s="415" t="s">
        <v>456</v>
      </c>
      <c r="B279" s="416" t="s">
        <v>457</v>
      </c>
      <c r="C279" s="245">
        <v>0</v>
      </c>
    </row>
    <row r="280" spans="1:4" x14ac:dyDescent="0.2">
      <c r="A280" s="415" t="s">
        <v>458</v>
      </c>
      <c r="B280" s="416" t="s">
        <v>31</v>
      </c>
      <c r="C280" s="237">
        <f>แบบบันทึกแม่ข่าย!F126</f>
        <v>0</v>
      </c>
      <c r="D280" s="124" t="s">
        <v>693</v>
      </c>
    </row>
    <row r="281" spans="1:4" x14ac:dyDescent="0.2">
      <c r="A281" s="415" t="s">
        <v>459</v>
      </c>
      <c r="B281" s="416" t="s">
        <v>1029</v>
      </c>
      <c r="C281" s="237">
        <f>แบบบันทึกแม่ข่าย!F127</f>
        <v>0</v>
      </c>
      <c r="D281" s="124" t="s">
        <v>694</v>
      </c>
    </row>
    <row r="282" spans="1:4" x14ac:dyDescent="0.2">
      <c r="A282" s="415" t="s">
        <v>460</v>
      </c>
      <c r="B282" s="416" t="s">
        <v>461</v>
      </c>
      <c r="C282" s="237">
        <f>แบบบันทึกแม่ข่าย!F128</f>
        <v>0</v>
      </c>
      <c r="D282" s="124" t="s">
        <v>1073</v>
      </c>
    </row>
    <row r="283" spans="1:4" x14ac:dyDescent="0.2">
      <c r="A283" s="415" t="s">
        <v>462</v>
      </c>
      <c r="B283" s="416" t="s">
        <v>463</v>
      </c>
      <c r="C283" s="245">
        <v>0</v>
      </c>
    </row>
    <row r="284" spans="1:4" x14ac:dyDescent="0.2">
      <c r="A284" s="415" t="s">
        <v>464</v>
      </c>
      <c r="B284" s="416" t="s">
        <v>465</v>
      </c>
      <c r="C284" s="237">
        <f>แบบบันทึกแม่ข่าย!F129</f>
        <v>0</v>
      </c>
      <c r="D284" s="124" t="s">
        <v>1377</v>
      </c>
    </row>
    <row r="285" spans="1:4" x14ac:dyDescent="0.2">
      <c r="A285" s="415" t="s">
        <v>466</v>
      </c>
      <c r="B285" s="416" t="s">
        <v>467</v>
      </c>
      <c r="C285" s="245">
        <v>0</v>
      </c>
    </row>
    <row r="286" spans="1:4" x14ac:dyDescent="0.2">
      <c r="A286" s="415" t="s">
        <v>468</v>
      </c>
      <c r="B286" s="416" t="s">
        <v>469</v>
      </c>
      <c r="C286" s="245">
        <v>0</v>
      </c>
    </row>
    <row r="287" spans="1:4" x14ac:dyDescent="0.2">
      <c r="A287" s="415" t="s">
        <v>470</v>
      </c>
      <c r="B287" s="416" t="s">
        <v>471</v>
      </c>
      <c r="C287" s="237">
        <f>แบบบันทึกแม่ข่าย!F145</f>
        <v>0</v>
      </c>
      <c r="D287" s="124" t="s">
        <v>702</v>
      </c>
    </row>
    <row r="288" spans="1:4" x14ac:dyDescent="0.2">
      <c r="A288" s="415" t="s">
        <v>472</v>
      </c>
      <c r="B288" s="416" t="s">
        <v>1030</v>
      </c>
      <c r="C288" s="245">
        <v>0</v>
      </c>
    </row>
    <row r="289" spans="1:4" x14ac:dyDescent="0.2">
      <c r="A289" s="415" t="s">
        <v>473</v>
      </c>
      <c r="B289" s="416" t="s">
        <v>1031</v>
      </c>
      <c r="C289" s="237">
        <f>แบบบันทึกแม่ข่าย!F146</f>
        <v>0</v>
      </c>
      <c r="D289" s="124" t="s">
        <v>1378</v>
      </c>
    </row>
    <row r="290" spans="1:4" x14ac:dyDescent="0.2">
      <c r="A290" s="415" t="s">
        <v>474</v>
      </c>
      <c r="B290" s="416" t="s">
        <v>475</v>
      </c>
      <c r="C290" s="237">
        <f>แบบบันทึกแม่ข่าย!F147</f>
        <v>0</v>
      </c>
      <c r="D290" s="124" t="s">
        <v>726</v>
      </c>
    </row>
    <row r="291" spans="1:4" x14ac:dyDescent="0.2">
      <c r="A291" s="415" t="s">
        <v>483</v>
      </c>
      <c r="B291" s="416" t="s">
        <v>484</v>
      </c>
      <c r="C291" s="237">
        <f>แบบบันทึกแม่ข่าย!F138</f>
        <v>0</v>
      </c>
      <c r="D291" s="124" t="s">
        <v>701</v>
      </c>
    </row>
    <row r="292" spans="1:4" x14ac:dyDescent="0.2">
      <c r="A292" s="415" t="s">
        <v>485</v>
      </c>
      <c r="B292" s="416" t="s">
        <v>486</v>
      </c>
      <c r="C292" s="237">
        <f>แบบบันทึกแม่ข่าย!F139</f>
        <v>0</v>
      </c>
      <c r="D292" s="124" t="s">
        <v>725</v>
      </c>
    </row>
    <row r="293" spans="1:4" x14ac:dyDescent="0.2">
      <c r="A293" s="415" t="s">
        <v>490</v>
      </c>
      <c r="B293" s="416" t="s">
        <v>491</v>
      </c>
      <c r="C293" s="237">
        <f>แบบบันทึกแม่ข่าย!F148</f>
        <v>0</v>
      </c>
      <c r="D293" s="124" t="s">
        <v>1075</v>
      </c>
    </row>
    <row r="294" spans="1:4" x14ac:dyDescent="0.2">
      <c r="A294" s="415" t="s">
        <v>1033</v>
      </c>
      <c r="B294" s="425" t="s">
        <v>1034</v>
      </c>
      <c r="C294" s="245">
        <v>0</v>
      </c>
    </row>
    <row r="295" spans="1:4" x14ac:dyDescent="0.2">
      <c r="A295" s="415" t="s">
        <v>492</v>
      </c>
      <c r="B295" s="425" t="s">
        <v>1035</v>
      </c>
      <c r="C295" s="237">
        <f>แบบบันทึกแม่ข่าย!F143</f>
        <v>0</v>
      </c>
      <c r="D295" s="124" t="s">
        <v>698</v>
      </c>
    </row>
    <row r="296" spans="1:4" x14ac:dyDescent="0.2">
      <c r="A296" s="415" t="s">
        <v>493</v>
      </c>
      <c r="B296" s="416" t="s">
        <v>494</v>
      </c>
      <c r="C296" s="245">
        <v>0</v>
      </c>
    </row>
    <row r="297" spans="1:4" x14ac:dyDescent="0.2">
      <c r="A297" s="415" t="s">
        <v>495</v>
      </c>
      <c r="B297" s="416" t="s">
        <v>496</v>
      </c>
      <c r="C297" s="245">
        <v>0</v>
      </c>
    </row>
    <row r="298" spans="1:4" x14ac:dyDescent="0.2">
      <c r="A298" s="415" t="s">
        <v>497</v>
      </c>
      <c r="B298" s="416" t="s">
        <v>1036</v>
      </c>
      <c r="C298" s="245">
        <v>0</v>
      </c>
    </row>
    <row r="299" spans="1:4" x14ac:dyDescent="0.2">
      <c r="A299" s="415" t="s">
        <v>1037</v>
      </c>
      <c r="B299" s="416" t="s">
        <v>1038</v>
      </c>
      <c r="C299" s="245">
        <v>0</v>
      </c>
    </row>
    <row r="300" spans="1:4" x14ac:dyDescent="0.2">
      <c r="A300" s="415" t="s">
        <v>498</v>
      </c>
      <c r="B300" s="416" t="s">
        <v>499</v>
      </c>
      <c r="C300" s="245">
        <v>0</v>
      </c>
    </row>
    <row r="301" spans="1:4" x14ac:dyDescent="0.2">
      <c r="A301" s="415" t="s">
        <v>1039</v>
      </c>
      <c r="B301" s="416" t="s">
        <v>1040</v>
      </c>
      <c r="C301" s="245">
        <v>0</v>
      </c>
    </row>
    <row r="302" spans="1:4" x14ac:dyDescent="0.2">
      <c r="A302" s="415" t="s">
        <v>500</v>
      </c>
      <c r="B302" s="416" t="s">
        <v>501</v>
      </c>
      <c r="C302" s="245">
        <v>0</v>
      </c>
    </row>
    <row r="303" spans="1:4" x14ac:dyDescent="0.2">
      <c r="A303" s="415" t="s">
        <v>502</v>
      </c>
      <c r="B303" s="416" t="s">
        <v>503</v>
      </c>
      <c r="C303" s="245">
        <v>0</v>
      </c>
    </row>
    <row r="304" spans="1:4" x14ac:dyDescent="0.2">
      <c r="A304" s="415" t="s">
        <v>504</v>
      </c>
      <c r="B304" s="416" t="s">
        <v>1350</v>
      </c>
      <c r="C304" s="237">
        <f>แบบบันทึกแม่ข่าย!F150+แบบบันทึกแม่ข่าย!F151+แบบบันทึกแม่ข่าย!F152</f>
        <v>0</v>
      </c>
      <c r="D304" s="124" t="s">
        <v>1380</v>
      </c>
    </row>
    <row r="305" spans="1:4" x14ac:dyDescent="0.2">
      <c r="A305" s="415" t="s">
        <v>505</v>
      </c>
      <c r="B305" s="416" t="s">
        <v>1541</v>
      </c>
      <c r="C305" s="245">
        <v>0</v>
      </c>
    </row>
    <row r="306" spans="1:4" x14ac:dyDescent="0.2">
      <c r="A306" s="415" t="s">
        <v>1041</v>
      </c>
      <c r="B306" s="416" t="s">
        <v>1042</v>
      </c>
      <c r="C306" s="245">
        <v>0</v>
      </c>
    </row>
    <row r="307" spans="1:4" x14ac:dyDescent="0.2">
      <c r="A307" s="415" t="s">
        <v>1351</v>
      </c>
      <c r="B307" s="416" t="s">
        <v>1542</v>
      </c>
      <c r="C307" s="237">
        <f>แบบบันทึกแม่ข่าย!F153</f>
        <v>0</v>
      </c>
      <c r="D307" s="124" t="s">
        <v>1381</v>
      </c>
    </row>
    <row r="308" spans="1:4" x14ac:dyDescent="0.2">
      <c r="A308" s="415" t="s">
        <v>506</v>
      </c>
      <c r="B308" s="416" t="s">
        <v>1352</v>
      </c>
      <c r="C308" s="237">
        <f>แบบบันทึกแม่ข่าย!F155</f>
        <v>0</v>
      </c>
      <c r="D308" s="124" t="s">
        <v>1382</v>
      </c>
    </row>
    <row r="309" spans="1:4" x14ac:dyDescent="0.2">
      <c r="A309" s="415" t="s">
        <v>507</v>
      </c>
      <c r="B309" s="416" t="s">
        <v>1543</v>
      </c>
      <c r="C309" s="237">
        <f>แบบบันทึกแม่ข่าย!F156</f>
        <v>0</v>
      </c>
      <c r="D309" s="124" t="s">
        <v>1383</v>
      </c>
    </row>
    <row r="310" spans="1:4" x14ac:dyDescent="0.2">
      <c r="A310" s="415" t="s">
        <v>1544</v>
      </c>
      <c r="B310" s="416" t="s">
        <v>1545</v>
      </c>
      <c r="C310" s="245">
        <v>0</v>
      </c>
    </row>
    <row r="311" spans="1:4" x14ac:dyDescent="0.2">
      <c r="A311" s="415" t="s">
        <v>1546</v>
      </c>
      <c r="B311" s="416" t="s">
        <v>1547</v>
      </c>
      <c r="C311" s="245">
        <v>0</v>
      </c>
    </row>
    <row r="312" spans="1:4" x14ac:dyDescent="0.2">
      <c r="A312" s="415" t="s">
        <v>1043</v>
      </c>
      <c r="B312" s="416" t="s">
        <v>1548</v>
      </c>
      <c r="C312" s="245">
        <v>0</v>
      </c>
    </row>
    <row r="313" spans="1:4" x14ac:dyDescent="0.2">
      <c r="A313" s="415" t="s">
        <v>508</v>
      </c>
      <c r="B313" s="416" t="s">
        <v>1549</v>
      </c>
      <c r="C313" s="245">
        <v>0</v>
      </c>
    </row>
    <row r="314" spans="1:4" x14ac:dyDescent="0.2">
      <c r="A314" s="415" t="s">
        <v>509</v>
      </c>
      <c r="B314" s="416" t="s">
        <v>510</v>
      </c>
      <c r="C314" s="237">
        <f>แบบบันทึกแม่ข่าย!F157</f>
        <v>0</v>
      </c>
      <c r="D314" s="124" t="s">
        <v>1384</v>
      </c>
    </row>
    <row r="315" spans="1:4" x14ac:dyDescent="0.2">
      <c r="A315" s="415" t="s">
        <v>1550</v>
      </c>
      <c r="B315" s="416" t="s">
        <v>1551</v>
      </c>
      <c r="C315" s="237">
        <f>แบบบันทึกแม่ข่าย!F111</f>
        <v>0</v>
      </c>
      <c r="D315" s="124" t="s">
        <v>1374</v>
      </c>
    </row>
    <row r="316" spans="1:4" x14ac:dyDescent="0.2">
      <c r="A316" s="415" t="s">
        <v>1552</v>
      </c>
      <c r="B316" s="416" t="s">
        <v>386</v>
      </c>
      <c r="C316" s="245">
        <v>0</v>
      </c>
    </row>
    <row r="317" spans="1:4" x14ac:dyDescent="0.2">
      <c r="A317" s="415" t="s">
        <v>1553</v>
      </c>
      <c r="B317" s="416" t="s">
        <v>1554</v>
      </c>
      <c r="C317" s="245">
        <v>0</v>
      </c>
    </row>
    <row r="318" spans="1:4" x14ac:dyDescent="0.2">
      <c r="A318" s="415" t="s">
        <v>1555</v>
      </c>
      <c r="B318" s="416" t="s">
        <v>1556</v>
      </c>
      <c r="C318" s="237">
        <f>แบบบันทึกแม่ข่าย!F110</f>
        <v>0</v>
      </c>
      <c r="D318" s="124" t="s">
        <v>689</v>
      </c>
    </row>
    <row r="319" spans="1:4" x14ac:dyDescent="0.2">
      <c r="A319" s="415" t="s">
        <v>1557</v>
      </c>
      <c r="B319" s="416" t="s">
        <v>1558</v>
      </c>
      <c r="C319" s="245">
        <v>0</v>
      </c>
    </row>
    <row r="320" spans="1:4" x14ac:dyDescent="0.2">
      <c r="A320" s="415" t="s">
        <v>1559</v>
      </c>
      <c r="B320" s="416" t="s">
        <v>1560</v>
      </c>
      <c r="C320" s="245">
        <v>0</v>
      </c>
    </row>
    <row r="321" spans="1:5" x14ac:dyDescent="0.2">
      <c r="A321" s="415" t="s">
        <v>1561</v>
      </c>
      <c r="B321" s="416" t="s">
        <v>1562</v>
      </c>
      <c r="C321" s="245">
        <v>0</v>
      </c>
    </row>
    <row r="322" spans="1:5" x14ac:dyDescent="0.2">
      <c r="A322" s="415" t="s">
        <v>1563</v>
      </c>
      <c r="B322" s="416" t="s">
        <v>1564</v>
      </c>
      <c r="C322" s="245">
        <v>0</v>
      </c>
    </row>
    <row r="323" spans="1:5" x14ac:dyDescent="0.2">
      <c r="A323" s="415" t="s">
        <v>1565</v>
      </c>
      <c r="B323" s="416" t="s">
        <v>1566</v>
      </c>
      <c r="C323" s="245">
        <v>0</v>
      </c>
    </row>
    <row r="324" spans="1:5" x14ac:dyDescent="0.2">
      <c r="A324" s="415" t="s">
        <v>1567</v>
      </c>
      <c r="B324" s="416" t="s">
        <v>1568</v>
      </c>
      <c r="C324" s="237">
        <f>แบบบันทึกแม่ข่าย!F117</f>
        <v>0</v>
      </c>
      <c r="D324" s="124" t="s">
        <v>691</v>
      </c>
    </row>
    <row r="325" spans="1:5" x14ac:dyDescent="0.2">
      <c r="A325" s="415" t="s">
        <v>1569</v>
      </c>
      <c r="B325" s="416" t="s">
        <v>1570</v>
      </c>
      <c r="C325" s="237">
        <f>แบบบันทึกแม่ข่าย!F98</f>
        <v>0</v>
      </c>
      <c r="D325" s="124" t="s">
        <v>1372</v>
      </c>
      <c r="E325" s="395"/>
    </row>
    <row r="326" spans="1:5" x14ac:dyDescent="0.2">
      <c r="A326" s="415" t="s">
        <v>1571</v>
      </c>
      <c r="B326" s="416" t="s">
        <v>1572</v>
      </c>
      <c r="C326" s="245">
        <v>0</v>
      </c>
    </row>
    <row r="327" spans="1:5" x14ac:dyDescent="0.2">
      <c r="A327" s="415" t="s">
        <v>1573</v>
      </c>
      <c r="B327" s="416" t="s">
        <v>1334</v>
      </c>
      <c r="C327" s="237">
        <f>แบบบันทึกแม่ข่าย!F108</f>
        <v>0</v>
      </c>
      <c r="D327" s="124" t="s">
        <v>723</v>
      </c>
    </row>
    <row r="328" spans="1:5" x14ac:dyDescent="0.2">
      <c r="A328" s="415" t="s">
        <v>1574</v>
      </c>
      <c r="B328" s="426" t="s">
        <v>1335</v>
      </c>
      <c r="C328" s="245">
        <v>0</v>
      </c>
    </row>
    <row r="329" spans="1:5" x14ac:dyDescent="0.2">
      <c r="A329" s="415" t="s">
        <v>1575</v>
      </c>
      <c r="B329" s="426" t="s">
        <v>1330</v>
      </c>
      <c r="C329" s="237">
        <f>แบบบันทึกแม่ข่าย!F99</f>
        <v>0</v>
      </c>
      <c r="D329" s="124" t="s">
        <v>1371</v>
      </c>
    </row>
    <row r="330" spans="1:5" x14ac:dyDescent="0.2">
      <c r="A330" s="415" t="s">
        <v>1576</v>
      </c>
      <c r="B330" s="426" t="s">
        <v>1331</v>
      </c>
      <c r="C330" s="245">
        <v>0</v>
      </c>
    </row>
    <row r="331" spans="1:5" x14ac:dyDescent="0.2">
      <c r="A331" s="415" t="s">
        <v>1577</v>
      </c>
      <c r="B331" s="426" t="s">
        <v>1332</v>
      </c>
      <c r="C331" s="237">
        <f>แบบบันทึกแม่ข่าย!F109</f>
        <v>0</v>
      </c>
      <c r="D331" s="124" t="s">
        <v>874</v>
      </c>
    </row>
    <row r="332" spans="1:5" x14ac:dyDescent="0.2">
      <c r="A332" s="415" t="s">
        <v>1578</v>
      </c>
      <c r="B332" s="426" t="s">
        <v>1333</v>
      </c>
      <c r="C332" s="245">
        <v>0</v>
      </c>
    </row>
    <row r="333" spans="1:5" x14ac:dyDescent="0.2">
      <c r="A333" s="415" t="s">
        <v>1579</v>
      </c>
      <c r="B333" s="426" t="s">
        <v>1580</v>
      </c>
      <c r="C333" s="245">
        <v>0</v>
      </c>
    </row>
    <row r="334" spans="1:5" x14ac:dyDescent="0.2">
      <c r="A334" s="415" t="s">
        <v>1581</v>
      </c>
      <c r="B334" s="426" t="s">
        <v>1582</v>
      </c>
      <c r="C334" s="245">
        <v>0</v>
      </c>
    </row>
    <row r="335" spans="1:5" x14ac:dyDescent="0.2">
      <c r="A335" s="415" t="s">
        <v>511</v>
      </c>
      <c r="B335" s="426" t="s">
        <v>512</v>
      </c>
      <c r="C335" s="237">
        <f>แบบบันทึกแม่ข่าย!F162</f>
        <v>0</v>
      </c>
      <c r="D335" s="124" t="s">
        <v>1388</v>
      </c>
    </row>
    <row r="336" spans="1:5" x14ac:dyDescent="0.2">
      <c r="A336" s="415" t="s">
        <v>513</v>
      </c>
      <c r="B336" s="426" t="s">
        <v>1583</v>
      </c>
      <c r="C336" s="245">
        <v>0</v>
      </c>
    </row>
    <row r="337" spans="1:4" x14ac:dyDescent="0.2">
      <c r="A337" s="415" t="s">
        <v>514</v>
      </c>
      <c r="B337" s="426" t="s">
        <v>1584</v>
      </c>
      <c r="C337" s="245">
        <v>0</v>
      </c>
    </row>
    <row r="338" spans="1:4" x14ac:dyDescent="0.2">
      <c r="A338" s="415" t="s">
        <v>515</v>
      </c>
      <c r="B338" s="426" t="s">
        <v>1585</v>
      </c>
      <c r="C338" s="245">
        <v>0</v>
      </c>
    </row>
    <row r="339" spans="1:4" x14ac:dyDescent="0.2">
      <c r="A339" s="415" t="s">
        <v>516</v>
      </c>
      <c r="B339" s="426" t="s">
        <v>517</v>
      </c>
      <c r="C339" s="245">
        <v>0</v>
      </c>
    </row>
    <row r="340" spans="1:4" x14ac:dyDescent="0.2">
      <c r="A340" s="415" t="s">
        <v>518</v>
      </c>
      <c r="B340" s="426" t="s">
        <v>1586</v>
      </c>
      <c r="C340" s="245">
        <v>0</v>
      </c>
    </row>
    <row r="341" spans="1:4" x14ac:dyDescent="0.2">
      <c r="A341" s="415" t="s">
        <v>519</v>
      </c>
      <c r="B341" s="426" t="s">
        <v>1587</v>
      </c>
      <c r="C341" s="245">
        <v>0</v>
      </c>
    </row>
    <row r="342" spans="1:4" x14ac:dyDescent="0.2">
      <c r="A342" s="415" t="s">
        <v>520</v>
      </c>
      <c r="B342" s="426" t="s">
        <v>521</v>
      </c>
      <c r="C342" s="245">
        <v>0</v>
      </c>
    </row>
    <row r="343" spans="1:4" x14ac:dyDescent="0.2">
      <c r="A343" s="415" t="s">
        <v>522</v>
      </c>
      <c r="B343" s="426" t="s">
        <v>523</v>
      </c>
      <c r="C343" s="245">
        <v>0</v>
      </c>
    </row>
    <row r="344" spans="1:4" x14ac:dyDescent="0.2">
      <c r="A344" s="415" t="s">
        <v>524</v>
      </c>
      <c r="B344" s="426" t="s">
        <v>525</v>
      </c>
      <c r="C344" s="237">
        <f>แบบบันทึกแม่ข่าย!F163</f>
        <v>0</v>
      </c>
      <c r="D344" s="124" t="s">
        <v>1387</v>
      </c>
    </row>
    <row r="345" spans="1:4" x14ac:dyDescent="0.2">
      <c r="A345" s="415" t="s">
        <v>526</v>
      </c>
      <c r="B345" s="426" t="s">
        <v>527</v>
      </c>
      <c r="C345" s="245">
        <v>0</v>
      </c>
    </row>
    <row r="346" spans="1:4" x14ac:dyDescent="0.2">
      <c r="A346" s="415" t="s">
        <v>528</v>
      </c>
      <c r="B346" s="426" t="s">
        <v>529</v>
      </c>
      <c r="C346" s="245">
        <v>0</v>
      </c>
    </row>
    <row r="347" spans="1:4" x14ac:dyDescent="0.2">
      <c r="A347" s="415" t="s">
        <v>530</v>
      </c>
      <c r="B347" s="425" t="s">
        <v>531</v>
      </c>
      <c r="C347" s="245">
        <v>0</v>
      </c>
    </row>
    <row r="348" spans="1:4" x14ac:dyDescent="0.2">
      <c r="A348" s="415" t="s">
        <v>532</v>
      </c>
      <c r="B348" s="426" t="s">
        <v>533</v>
      </c>
      <c r="C348" s="245">
        <v>0</v>
      </c>
    </row>
    <row r="349" spans="1:4" x14ac:dyDescent="0.2">
      <c r="A349" s="415" t="s">
        <v>1588</v>
      </c>
      <c r="B349" s="416" t="s">
        <v>1589</v>
      </c>
      <c r="C349" s="245">
        <v>0</v>
      </c>
    </row>
    <row r="350" spans="1:4" x14ac:dyDescent="0.2">
      <c r="A350" s="415" t="s">
        <v>534</v>
      </c>
      <c r="B350" s="416" t="s">
        <v>535</v>
      </c>
      <c r="C350" s="245">
        <v>0</v>
      </c>
    </row>
    <row r="351" spans="1:4" x14ac:dyDescent="0.2">
      <c r="A351" s="415" t="s">
        <v>536</v>
      </c>
      <c r="B351" s="416" t="s">
        <v>537</v>
      </c>
      <c r="C351" s="245">
        <v>0</v>
      </c>
    </row>
    <row r="352" spans="1:4" x14ac:dyDescent="0.2">
      <c r="A352" s="415" t="s">
        <v>538</v>
      </c>
      <c r="B352" s="416" t="s">
        <v>539</v>
      </c>
      <c r="C352" s="245">
        <v>0</v>
      </c>
    </row>
    <row r="353" spans="1:3" x14ac:dyDescent="0.2">
      <c r="A353" s="415" t="s">
        <v>1044</v>
      </c>
      <c r="B353" s="416" t="s">
        <v>1045</v>
      </c>
      <c r="C353" s="245">
        <v>0</v>
      </c>
    </row>
    <row r="354" spans="1:3" x14ac:dyDescent="0.2">
      <c r="A354" s="415" t="s">
        <v>540</v>
      </c>
      <c r="B354" s="416" t="s">
        <v>541</v>
      </c>
      <c r="C354" s="245">
        <v>0</v>
      </c>
    </row>
    <row r="355" spans="1:3" x14ac:dyDescent="0.2">
      <c r="A355" s="415" t="s">
        <v>1046</v>
      </c>
      <c r="B355" s="416" t="s">
        <v>1047</v>
      </c>
      <c r="C355" s="245">
        <v>0</v>
      </c>
    </row>
    <row r="356" spans="1:3" x14ac:dyDescent="0.2">
      <c r="A356" s="415" t="s">
        <v>1048</v>
      </c>
      <c r="B356" s="416" t="s">
        <v>1049</v>
      </c>
      <c r="C356" s="245">
        <v>0</v>
      </c>
    </row>
    <row r="357" spans="1:3" x14ac:dyDescent="0.2">
      <c r="A357" s="415" t="s">
        <v>1050</v>
      </c>
      <c r="B357" s="416" t="s">
        <v>1051</v>
      </c>
      <c r="C357" s="245">
        <v>0</v>
      </c>
    </row>
    <row r="358" spans="1:3" x14ac:dyDescent="0.2">
      <c r="A358" s="415" t="s">
        <v>542</v>
      </c>
      <c r="B358" s="416" t="s">
        <v>543</v>
      </c>
      <c r="C358" s="245">
        <v>0</v>
      </c>
    </row>
    <row r="359" spans="1:3" x14ac:dyDescent="0.2">
      <c r="A359" s="415" t="s">
        <v>544</v>
      </c>
      <c r="B359" s="416" t="s">
        <v>545</v>
      </c>
      <c r="C359" s="245">
        <v>0</v>
      </c>
    </row>
    <row r="360" spans="1:3" x14ac:dyDescent="0.2">
      <c r="A360" s="415" t="s">
        <v>546</v>
      </c>
      <c r="B360" s="416" t="s">
        <v>547</v>
      </c>
      <c r="C360" s="245">
        <v>0</v>
      </c>
    </row>
    <row r="361" spans="1:3" x14ac:dyDescent="0.2">
      <c r="A361" s="415" t="s">
        <v>548</v>
      </c>
      <c r="B361" s="416" t="s">
        <v>1590</v>
      </c>
      <c r="C361" s="245">
        <v>0</v>
      </c>
    </row>
    <row r="362" spans="1:3" x14ac:dyDescent="0.2">
      <c r="A362" s="415" t="s">
        <v>549</v>
      </c>
      <c r="B362" s="416" t="s">
        <v>550</v>
      </c>
      <c r="C362" s="245">
        <v>0</v>
      </c>
    </row>
    <row r="363" spans="1:3" x14ac:dyDescent="0.2">
      <c r="A363" s="415" t="s">
        <v>551</v>
      </c>
      <c r="B363" s="416" t="s">
        <v>552</v>
      </c>
      <c r="C363" s="245">
        <v>0</v>
      </c>
    </row>
    <row r="364" spans="1:3" x14ac:dyDescent="0.2">
      <c r="A364" s="415" t="s">
        <v>553</v>
      </c>
      <c r="B364" s="416" t="s">
        <v>554</v>
      </c>
      <c r="C364" s="245">
        <v>0</v>
      </c>
    </row>
    <row r="365" spans="1:3" x14ac:dyDescent="0.2">
      <c r="A365" s="415" t="s">
        <v>555</v>
      </c>
      <c r="B365" s="416" t="s">
        <v>556</v>
      </c>
      <c r="C365" s="245">
        <v>0</v>
      </c>
    </row>
    <row r="366" spans="1:3" x14ac:dyDescent="0.2">
      <c r="A366" s="415" t="s">
        <v>557</v>
      </c>
      <c r="B366" s="416" t="s">
        <v>558</v>
      </c>
      <c r="C366" s="245">
        <v>0</v>
      </c>
    </row>
    <row r="367" spans="1:3" x14ac:dyDescent="0.2">
      <c r="A367" s="415" t="s">
        <v>559</v>
      </c>
      <c r="B367" s="416" t="s">
        <v>560</v>
      </c>
      <c r="C367" s="245">
        <v>0</v>
      </c>
    </row>
    <row r="368" spans="1:3" x14ac:dyDescent="0.2">
      <c r="A368" s="415" t="s">
        <v>561</v>
      </c>
      <c r="B368" s="416" t="s">
        <v>562</v>
      </c>
      <c r="C368" s="245">
        <v>0</v>
      </c>
    </row>
    <row r="369" spans="1:4" x14ac:dyDescent="0.2">
      <c r="A369" s="415" t="s">
        <v>563</v>
      </c>
      <c r="B369" s="416" t="s">
        <v>564</v>
      </c>
      <c r="C369" s="245">
        <v>0</v>
      </c>
    </row>
    <row r="370" spans="1:4" x14ac:dyDescent="0.2">
      <c r="A370" s="415" t="s">
        <v>565</v>
      </c>
      <c r="B370" s="416" t="s">
        <v>566</v>
      </c>
      <c r="C370" s="245">
        <v>0</v>
      </c>
    </row>
    <row r="371" spans="1:4" x14ac:dyDescent="0.2">
      <c r="A371" s="415" t="s">
        <v>567</v>
      </c>
      <c r="B371" s="416" t="s">
        <v>568</v>
      </c>
      <c r="C371" s="245">
        <v>0</v>
      </c>
    </row>
    <row r="372" spans="1:4" x14ac:dyDescent="0.2">
      <c r="A372" s="415" t="s">
        <v>569</v>
      </c>
      <c r="B372" s="416" t="s">
        <v>570</v>
      </c>
      <c r="C372" s="245">
        <v>0</v>
      </c>
    </row>
    <row r="373" spans="1:4" x14ac:dyDescent="0.2">
      <c r="A373" s="415" t="s">
        <v>571</v>
      </c>
      <c r="B373" s="416" t="s">
        <v>572</v>
      </c>
      <c r="C373" s="245">
        <v>0</v>
      </c>
    </row>
    <row r="374" spans="1:4" x14ac:dyDescent="0.2">
      <c r="A374" s="415" t="s">
        <v>573</v>
      </c>
      <c r="B374" s="416" t="s">
        <v>574</v>
      </c>
      <c r="C374" s="245">
        <v>0</v>
      </c>
    </row>
    <row r="375" spans="1:4" x14ac:dyDescent="0.2">
      <c r="A375" s="415" t="s">
        <v>575</v>
      </c>
      <c r="B375" s="416" t="s">
        <v>576</v>
      </c>
      <c r="C375" s="245">
        <v>0</v>
      </c>
    </row>
    <row r="376" spans="1:4" x14ac:dyDescent="0.2">
      <c r="A376" s="415" t="s">
        <v>577</v>
      </c>
      <c r="B376" s="416" t="s">
        <v>578</v>
      </c>
      <c r="C376" s="245">
        <v>0</v>
      </c>
    </row>
    <row r="377" spans="1:4" x14ac:dyDescent="0.2">
      <c r="A377" s="415" t="s">
        <v>579</v>
      </c>
      <c r="B377" s="416" t="s">
        <v>580</v>
      </c>
      <c r="C377" s="245">
        <v>0</v>
      </c>
    </row>
    <row r="378" spans="1:4" x14ac:dyDescent="0.2">
      <c r="A378" s="415" t="s">
        <v>581</v>
      </c>
      <c r="B378" s="416" t="s">
        <v>582</v>
      </c>
      <c r="C378" s="245">
        <v>0</v>
      </c>
    </row>
    <row r="379" spans="1:4" x14ac:dyDescent="0.2">
      <c r="A379" s="415" t="s">
        <v>583</v>
      </c>
      <c r="B379" s="416" t="s">
        <v>584</v>
      </c>
      <c r="C379" s="245">
        <v>0</v>
      </c>
    </row>
    <row r="380" spans="1:4" x14ac:dyDescent="0.2">
      <c r="A380" s="415" t="s">
        <v>585</v>
      </c>
      <c r="B380" s="416" t="s">
        <v>586</v>
      </c>
      <c r="C380" s="245">
        <v>0</v>
      </c>
    </row>
    <row r="381" spans="1:4" x14ac:dyDescent="0.2">
      <c r="A381" s="415" t="s">
        <v>587</v>
      </c>
      <c r="B381" s="416" t="s">
        <v>588</v>
      </c>
      <c r="C381" s="237">
        <f>แบบบันทึกแม่ข่าย!F164</f>
        <v>0</v>
      </c>
      <c r="D381" s="124" t="s">
        <v>1386</v>
      </c>
    </row>
    <row r="382" spans="1:4" x14ac:dyDescent="0.2">
      <c r="A382" s="415" t="s">
        <v>589</v>
      </c>
      <c r="B382" s="416" t="s">
        <v>590</v>
      </c>
      <c r="C382" s="245">
        <v>0</v>
      </c>
    </row>
    <row r="383" spans="1:4" x14ac:dyDescent="0.2">
      <c r="A383" s="415" t="s">
        <v>591</v>
      </c>
      <c r="B383" s="416" t="s">
        <v>592</v>
      </c>
      <c r="C383" s="245">
        <v>0</v>
      </c>
    </row>
    <row r="384" spans="1:4" x14ac:dyDescent="0.2">
      <c r="A384" s="415" t="s">
        <v>593</v>
      </c>
      <c r="B384" s="416" t="s">
        <v>594</v>
      </c>
      <c r="C384" s="245">
        <v>0</v>
      </c>
    </row>
    <row r="385" spans="1:3" x14ac:dyDescent="0.2">
      <c r="A385" s="428" t="s">
        <v>1591</v>
      </c>
      <c r="B385" s="425" t="s">
        <v>1592</v>
      </c>
      <c r="C385" s="245">
        <v>0</v>
      </c>
    </row>
    <row r="386" spans="1:3" x14ac:dyDescent="0.2">
      <c r="A386" s="415" t="s">
        <v>595</v>
      </c>
      <c r="B386" s="416" t="s">
        <v>596</v>
      </c>
      <c r="C386" s="245">
        <v>0</v>
      </c>
    </row>
    <row r="387" spans="1:3" x14ac:dyDescent="0.2">
      <c r="A387" s="415" t="s">
        <v>597</v>
      </c>
      <c r="B387" s="416" t="s">
        <v>598</v>
      </c>
      <c r="C387" s="245">
        <v>0</v>
      </c>
    </row>
    <row r="388" spans="1:3" x14ac:dyDescent="0.2">
      <c r="A388" s="415" t="s">
        <v>1052</v>
      </c>
      <c r="B388" s="416" t="s">
        <v>1053</v>
      </c>
      <c r="C388" s="245">
        <v>0</v>
      </c>
    </row>
    <row r="389" spans="1:3" x14ac:dyDescent="0.2">
      <c r="A389" s="415" t="s">
        <v>599</v>
      </c>
      <c r="B389" s="416" t="s">
        <v>1054</v>
      </c>
      <c r="C389" s="245">
        <v>0</v>
      </c>
    </row>
    <row r="390" spans="1:3" x14ac:dyDescent="0.2">
      <c r="A390" s="415" t="s">
        <v>600</v>
      </c>
      <c r="B390" s="416" t="s">
        <v>601</v>
      </c>
      <c r="C390" s="245">
        <v>0</v>
      </c>
    </row>
    <row r="391" spans="1:3" x14ac:dyDescent="0.2">
      <c r="A391" s="415" t="s">
        <v>602</v>
      </c>
      <c r="B391" s="416" t="s">
        <v>603</v>
      </c>
      <c r="C391" s="245">
        <v>0</v>
      </c>
    </row>
    <row r="392" spans="1:3" x14ac:dyDescent="0.2">
      <c r="A392" s="415" t="s">
        <v>604</v>
      </c>
      <c r="B392" s="416" t="s">
        <v>1055</v>
      </c>
      <c r="C392" s="245">
        <v>0</v>
      </c>
    </row>
    <row r="393" spans="1:3" x14ac:dyDescent="0.2">
      <c r="A393" s="415" t="s">
        <v>605</v>
      </c>
      <c r="B393" s="416" t="s">
        <v>1056</v>
      </c>
      <c r="C393" s="245">
        <v>0</v>
      </c>
    </row>
    <row r="394" spans="1:3" x14ac:dyDescent="0.2">
      <c r="A394" s="415" t="s">
        <v>606</v>
      </c>
      <c r="B394" s="416" t="s">
        <v>1353</v>
      </c>
      <c r="C394" s="245">
        <v>0</v>
      </c>
    </row>
    <row r="395" spans="1:3" x14ac:dyDescent="0.2">
      <c r="A395" s="415" t="s">
        <v>607</v>
      </c>
      <c r="B395" s="416" t="s">
        <v>1057</v>
      </c>
      <c r="C395" s="245">
        <v>0</v>
      </c>
    </row>
    <row r="396" spans="1:3" x14ac:dyDescent="0.2">
      <c r="A396" s="415" t="s">
        <v>608</v>
      </c>
      <c r="B396" s="416" t="s">
        <v>609</v>
      </c>
      <c r="C396" s="245">
        <v>0</v>
      </c>
    </row>
    <row r="397" spans="1:3" x14ac:dyDescent="0.2">
      <c r="A397" s="415" t="s">
        <v>610</v>
      </c>
      <c r="B397" s="416" t="s">
        <v>611</v>
      </c>
      <c r="C397" s="245">
        <v>0</v>
      </c>
    </row>
    <row r="398" spans="1:3" x14ac:dyDescent="0.2">
      <c r="A398" s="415" t="s">
        <v>1593</v>
      </c>
      <c r="B398" s="416" t="s">
        <v>1594</v>
      </c>
      <c r="C398" s="245">
        <v>0</v>
      </c>
    </row>
    <row r="399" spans="1:3" x14ac:dyDescent="0.2">
      <c r="A399" s="415" t="s">
        <v>612</v>
      </c>
      <c r="B399" s="416" t="s">
        <v>1058</v>
      </c>
      <c r="C399" s="245">
        <v>0</v>
      </c>
    </row>
    <row r="400" spans="1:3" x14ac:dyDescent="0.2">
      <c r="A400" s="415" t="s">
        <v>613</v>
      </c>
      <c r="B400" s="416" t="s">
        <v>1595</v>
      </c>
      <c r="C400" s="245">
        <v>0</v>
      </c>
    </row>
    <row r="401" spans="1:3" x14ac:dyDescent="0.2">
      <c r="A401" s="415" t="s">
        <v>1596</v>
      </c>
      <c r="B401" s="416" t="s">
        <v>1597</v>
      </c>
      <c r="C401" s="245">
        <v>0</v>
      </c>
    </row>
    <row r="402" spans="1:3" x14ac:dyDescent="0.2">
      <c r="A402" s="415" t="s">
        <v>1598</v>
      </c>
      <c r="B402" s="416" t="s">
        <v>1599</v>
      </c>
      <c r="C402" s="245">
        <v>0</v>
      </c>
    </row>
    <row r="403" spans="1:3" x14ac:dyDescent="0.2">
      <c r="A403" s="415" t="s">
        <v>1354</v>
      </c>
      <c r="B403" s="416" t="s">
        <v>1355</v>
      </c>
      <c r="C403" s="245">
        <v>0</v>
      </c>
    </row>
    <row r="404" spans="1:3" x14ac:dyDescent="0.2">
      <c r="A404" s="415" t="s">
        <v>614</v>
      </c>
      <c r="B404" s="416" t="s">
        <v>615</v>
      </c>
      <c r="C404" s="245">
        <v>0</v>
      </c>
    </row>
    <row r="405" spans="1:3" x14ac:dyDescent="0.2">
      <c r="A405" s="415" t="s">
        <v>616</v>
      </c>
      <c r="B405" s="416" t="s">
        <v>617</v>
      </c>
      <c r="C405" s="245">
        <v>0</v>
      </c>
    </row>
    <row r="406" spans="1:3" x14ac:dyDescent="0.2">
      <c r="A406" s="415" t="s">
        <v>618</v>
      </c>
      <c r="B406" s="416" t="s">
        <v>619</v>
      </c>
      <c r="C406" s="245">
        <v>0</v>
      </c>
    </row>
    <row r="407" spans="1:3" x14ac:dyDescent="0.2">
      <c r="A407" s="415" t="s">
        <v>620</v>
      </c>
      <c r="B407" s="416" t="s">
        <v>621</v>
      </c>
      <c r="C407" s="245">
        <v>0</v>
      </c>
    </row>
    <row r="408" spans="1:3" x14ac:dyDescent="0.2">
      <c r="A408" s="415" t="s">
        <v>622</v>
      </c>
      <c r="B408" s="416" t="s">
        <v>623</v>
      </c>
      <c r="C408" s="245">
        <v>0</v>
      </c>
    </row>
    <row r="409" spans="1:3" x14ac:dyDescent="0.2">
      <c r="A409" s="415" t="s">
        <v>624</v>
      </c>
      <c r="B409" s="416" t="s">
        <v>625</v>
      </c>
      <c r="C409" s="245">
        <v>0</v>
      </c>
    </row>
    <row r="410" spans="1:3" x14ac:dyDescent="0.2">
      <c r="A410" s="415" t="s">
        <v>626</v>
      </c>
      <c r="B410" s="416" t="s">
        <v>627</v>
      </c>
      <c r="C410" s="245">
        <v>0</v>
      </c>
    </row>
    <row r="411" spans="1:3" x14ac:dyDescent="0.2">
      <c r="A411" s="415" t="s">
        <v>628</v>
      </c>
      <c r="B411" s="416" t="s">
        <v>629</v>
      </c>
      <c r="C411" s="245">
        <v>0</v>
      </c>
    </row>
    <row r="412" spans="1:3" x14ac:dyDescent="0.2">
      <c r="A412" s="415" t="s">
        <v>630</v>
      </c>
      <c r="B412" s="416" t="s">
        <v>631</v>
      </c>
      <c r="C412" s="245">
        <v>0</v>
      </c>
    </row>
    <row r="413" spans="1:3" x14ac:dyDescent="0.2">
      <c r="A413" s="415" t="s">
        <v>632</v>
      </c>
      <c r="B413" s="416" t="s">
        <v>633</v>
      </c>
      <c r="C413" s="245">
        <v>0</v>
      </c>
    </row>
    <row r="414" spans="1:3" x14ac:dyDescent="0.2">
      <c r="A414" s="415" t="s">
        <v>634</v>
      </c>
      <c r="B414" s="416" t="s">
        <v>635</v>
      </c>
      <c r="C414" s="245">
        <v>0</v>
      </c>
    </row>
    <row r="415" spans="1:3" x14ac:dyDescent="0.2">
      <c r="A415" s="415" t="s">
        <v>636</v>
      </c>
      <c r="B415" s="416" t="s">
        <v>637</v>
      </c>
      <c r="C415" s="245">
        <v>0</v>
      </c>
    </row>
    <row r="416" spans="1:3" x14ac:dyDescent="0.2">
      <c r="A416" s="415" t="s">
        <v>638</v>
      </c>
      <c r="B416" s="416" t="s">
        <v>639</v>
      </c>
      <c r="C416" s="245">
        <v>0</v>
      </c>
    </row>
    <row r="417" spans="1:3" x14ac:dyDescent="0.2">
      <c r="A417" s="415" t="s">
        <v>640</v>
      </c>
      <c r="B417" s="416" t="s">
        <v>641</v>
      </c>
      <c r="C417" s="245">
        <v>0</v>
      </c>
    </row>
    <row r="418" spans="1:3" x14ac:dyDescent="0.2">
      <c r="A418" s="415" t="s">
        <v>642</v>
      </c>
      <c r="B418" s="416" t="s">
        <v>643</v>
      </c>
      <c r="C418" s="245">
        <v>0</v>
      </c>
    </row>
    <row r="419" spans="1:3" x14ac:dyDescent="0.2">
      <c r="A419" s="415" t="s">
        <v>644</v>
      </c>
      <c r="B419" s="416" t="s">
        <v>645</v>
      </c>
      <c r="C419" s="245">
        <v>0</v>
      </c>
    </row>
    <row r="420" spans="1:3" x14ac:dyDescent="0.2">
      <c r="A420" s="415" t="s">
        <v>646</v>
      </c>
      <c r="B420" s="416" t="s">
        <v>647</v>
      </c>
      <c r="C420" s="245">
        <v>0</v>
      </c>
    </row>
    <row r="421" spans="1:3" x14ac:dyDescent="0.2">
      <c r="A421" s="415" t="s">
        <v>648</v>
      </c>
      <c r="B421" s="416" t="s">
        <v>649</v>
      </c>
      <c r="C421" s="245">
        <v>0</v>
      </c>
    </row>
    <row r="422" spans="1:3" x14ac:dyDescent="0.2">
      <c r="A422" s="415" t="s">
        <v>650</v>
      </c>
      <c r="B422" s="416" t="s">
        <v>651</v>
      </c>
      <c r="C422" s="245">
        <v>0</v>
      </c>
    </row>
    <row r="423" spans="1:3" x14ac:dyDescent="0.2">
      <c r="A423" s="415" t="s">
        <v>652</v>
      </c>
      <c r="B423" s="416" t="s">
        <v>653</v>
      </c>
      <c r="C423" s="245">
        <v>0</v>
      </c>
    </row>
    <row r="424" spans="1:3" x14ac:dyDescent="0.2">
      <c r="A424" s="415" t="s">
        <v>1059</v>
      </c>
      <c r="B424" s="416" t="s">
        <v>1060</v>
      </c>
      <c r="C424" s="245">
        <v>0</v>
      </c>
    </row>
    <row r="425" spans="1:3" x14ac:dyDescent="0.2">
      <c r="A425" s="415" t="s">
        <v>1061</v>
      </c>
      <c r="B425" s="416" t="s">
        <v>1062</v>
      </c>
      <c r="C425" s="245">
        <v>0</v>
      </c>
    </row>
    <row r="426" spans="1:3" x14ac:dyDescent="0.2">
      <c r="A426" s="415" t="s">
        <v>1063</v>
      </c>
      <c r="B426" s="416" t="s">
        <v>1600</v>
      </c>
      <c r="C426" s="245">
        <v>0</v>
      </c>
    </row>
    <row r="427" spans="1:3" x14ac:dyDescent="0.2">
      <c r="A427" s="415" t="s">
        <v>654</v>
      </c>
      <c r="B427" s="416" t="s">
        <v>1064</v>
      </c>
      <c r="C427" s="245">
        <v>0</v>
      </c>
    </row>
    <row r="428" spans="1:3" x14ac:dyDescent="0.2">
      <c r="A428" s="415" t="s">
        <v>1065</v>
      </c>
      <c r="B428" s="416" t="s">
        <v>1066</v>
      </c>
      <c r="C428" s="245">
        <v>0</v>
      </c>
    </row>
    <row r="429" spans="1:3" x14ac:dyDescent="0.2">
      <c r="A429" s="415" t="s">
        <v>1067</v>
      </c>
      <c r="B429" s="416" t="s">
        <v>1601</v>
      </c>
      <c r="C429" s="245">
        <v>0</v>
      </c>
    </row>
    <row r="430" spans="1:3" x14ac:dyDescent="0.2">
      <c r="A430" s="415" t="s">
        <v>655</v>
      </c>
      <c r="B430" s="416" t="s">
        <v>1068</v>
      </c>
      <c r="C430" s="245">
        <v>0</v>
      </c>
    </row>
    <row r="431" spans="1:3" x14ac:dyDescent="0.2">
      <c r="A431" s="415" t="s">
        <v>1602</v>
      </c>
      <c r="B431" s="416" t="s">
        <v>1603</v>
      </c>
      <c r="C431" s="245">
        <v>0</v>
      </c>
    </row>
    <row r="432" spans="1:3" x14ac:dyDescent="0.2">
      <c r="A432" s="415" t="s">
        <v>1604</v>
      </c>
      <c r="B432" s="416" t="s">
        <v>656</v>
      </c>
      <c r="C432" s="245">
        <v>0</v>
      </c>
    </row>
    <row r="433" spans="1:4" x14ac:dyDescent="0.2">
      <c r="A433" s="415" t="s">
        <v>1069</v>
      </c>
      <c r="B433" s="416" t="s">
        <v>656</v>
      </c>
      <c r="C433" s="245">
        <v>0</v>
      </c>
    </row>
    <row r="434" spans="1:4" x14ac:dyDescent="0.2">
      <c r="A434" s="415" t="s">
        <v>657</v>
      </c>
      <c r="B434" s="416" t="s">
        <v>658</v>
      </c>
      <c r="C434" s="245">
        <v>0</v>
      </c>
    </row>
    <row r="435" spans="1:4" x14ac:dyDescent="0.2">
      <c r="A435" s="415" t="s">
        <v>659</v>
      </c>
      <c r="B435" s="416" t="s">
        <v>1605</v>
      </c>
      <c r="C435" s="245">
        <v>0</v>
      </c>
    </row>
    <row r="436" spans="1:4" x14ac:dyDescent="0.2">
      <c r="A436" s="415" t="s">
        <v>660</v>
      </c>
      <c r="B436" s="416" t="s">
        <v>661</v>
      </c>
      <c r="C436" s="245">
        <v>0</v>
      </c>
    </row>
    <row r="437" spans="1:4" x14ac:dyDescent="0.2">
      <c r="A437" s="415" t="s">
        <v>662</v>
      </c>
      <c r="B437" s="416" t="s">
        <v>663</v>
      </c>
      <c r="C437" s="237">
        <f>แบบบันทึกแม่ข่าย!F160+แบบบันทึกแม่ข่าย!F165</f>
        <v>0</v>
      </c>
      <c r="D437" s="124" t="s">
        <v>1385</v>
      </c>
    </row>
    <row r="438" spans="1:4" x14ac:dyDescent="0.2">
      <c r="A438" s="415" t="s">
        <v>664</v>
      </c>
      <c r="B438" s="416" t="s">
        <v>1070</v>
      </c>
      <c r="C438" s="245">
        <v>0</v>
      </c>
    </row>
    <row r="439" spans="1:4" x14ac:dyDescent="0.2">
      <c r="A439" s="415" t="s">
        <v>665</v>
      </c>
      <c r="B439" s="416" t="s">
        <v>1071</v>
      </c>
      <c r="C439" s="245">
        <v>0</v>
      </c>
    </row>
    <row r="440" spans="1:4" x14ac:dyDescent="0.2">
      <c r="A440" s="415" t="s">
        <v>666</v>
      </c>
      <c r="B440" s="416" t="s">
        <v>667</v>
      </c>
      <c r="C440" s="245">
        <v>0</v>
      </c>
    </row>
    <row r="441" spans="1:4" x14ac:dyDescent="0.2">
      <c r="A441" s="415" t="s">
        <v>668</v>
      </c>
      <c r="B441" s="416" t="s">
        <v>669</v>
      </c>
      <c r="C441" s="245">
        <v>0</v>
      </c>
    </row>
    <row r="442" spans="1:4" x14ac:dyDescent="0.2">
      <c r="A442" s="415" t="s">
        <v>670</v>
      </c>
      <c r="B442" s="416" t="s">
        <v>1606</v>
      </c>
      <c r="C442" s="237">
        <f>แบบบันทึกแม่ข่าย!F159</f>
        <v>0</v>
      </c>
      <c r="D442" s="124" t="s">
        <v>1077</v>
      </c>
    </row>
    <row r="443" spans="1:4" x14ac:dyDescent="0.2">
      <c r="A443" s="415" t="s">
        <v>671</v>
      </c>
      <c r="B443" s="416" t="s">
        <v>1607</v>
      </c>
      <c r="C443" s="245">
        <v>0</v>
      </c>
    </row>
    <row r="444" spans="1:4" x14ac:dyDescent="0.2">
      <c r="A444" s="415" t="s">
        <v>672</v>
      </c>
      <c r="B444" s="416" t="s">
        <v>1608</v>
      </c>
      <c r="C444" s="245">
        <v>0</v>
      </c>
    </row>
    <row r="445" spans="1:4" x14ac:dyDescent="0.2">
      <c r="A445" s="415" t="s">
        <v>673</v>
      </c>
      <c r="B445" s="416" t="s">
        <v>1609</v>
      </c>
      <c r="C445" s="245">
        <v>0</v>
      </c>
    </row>
    <row r="446" spans="1:4" x14ac:dyDescent="0.2">
      <c r="A446" s="415" t="s">
        <v>674</v>
      </c>
      <c r="B446" s="416" t="s">
        <v>1610</v>
      </c>
      <c r="C446" s="245">
        <v>0</v>
      </c>
    </row>
    <row r="447" spans="1:4" x14ac:dyDescent="0.2">
      <c r="A447" s="415" t="s">
        <v>675</v>
      </c>
      <c r="B447" s="416" t="s">
        <v>676</v>
      </c>
      <c r="C447" s="245">
        <v>0</v>
      </c>
    </row>
    <row r="449" spans="2:3" ht="15" x14ac:dyDescent="0.25">
      <c r="B449" s="377" t="s">
        <v>101</v>
      </c>
      <c r="C449" s="236">
        <f>SUM(C2:C172)</f>
        <v>0</v>
      </c>
    </row>
    <row r="450" spans="2:3" ht="15" x14ac:dyDescent="0.25">
      <c r="B450" s="377" t="s">
        <v>684</v>
      </c>
      <c r="C450" s="237">
        <f>แบบบันทึกแม่ข่าย!F89</f>
        <v>0</v>
      </c>
    </row>
    <row r="451" spans="2:3" ht="15" x14ac:dyDescent="0.25">
      <c r="B451" s="377" t="s">
        <v>1078</v>
      </c>
      <c r="C451" s="236">
        <f>C449-C450</f>
        <v>0</v>
      </c>
    </row>
    <row r="452" spans="2:3" ht="15" x14ac:dyDescent="0.25">
      <c r="B452" s="377" t="s">
        <v>685</v>
      </c>
      <c r="C452" s="236">
        <f>SUM(C173:C447)</f>
        <v>0</v>
      </c>
    </row>
    <row r="453" spans="2:3" ht="15" x14ac:dyDescent="0.25">
      <c r="B453" s="377" t="s">
        <v>686</v>
      </c>
      <c r="C453" s="237">
        <f>แบบบันทึกแม่ข่าย!F166</f>
        <v>0</v>
      </c>
    </row>
    <row r="454" spans="2:3" ht="15" x14ac:dyDescent="0.25">
      <c r="B454" s="377" t="s">
        <v>1079</v>
      </c>
      <c r="C454" s="236">
        <f>C452-C453</f>
        <v>0</v>
      </c>
    </row>
    <row r="455" spans="2:3" x14ac:dyDescent="0.2">
      <c r="C455" s="124"/>
    </row>
    <row r="456" spans="2:3" x14ac:dyDescent="0.2">
      <c r="C456" s="245"/>
    </row>
  </sheetData>
  <autoFilter ref="A1:D608" xr:uid="{00000000-0009-0000-0000-000006000000}"/>
  <phoneticPr fontId="47" type="noConversion"/>
  <conditionalFormatting sqref="A395:A446">
    <cfRule type="duplicateValues" dxfId="18" priority="36"/>
  </conditionalFormatting>
  <conditionalFormatting sqref="A447 A2:A58 A65:A394">
    <cfRule type="duplicateValues" dxfId="17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29"/>
  <sheetViews>
    <sheetView zoomScale="87" zoomScaleNormal="115" workbookViewId="0">
      <pane xSplit="3" ySplit="2" topLeftCell="D3" activePane="bottomRight" state="frozen"/>
      <selection activeCell="E102" sqref="E102"/>
      <selection pane="topRight" activeCell="E102" sqref="E102"/>
      <selection pane="bottomLeft" activeCell="E102" sqref="E102"/>
      <selection pane="bottomRight" activeCell="E102" sqref="E102"/>
    </sheetView>
  </sheetViews>
  <sheetFormatPr defaultRowHeight="14.25" x14ac:dyDescent="0.2"/>
  <cols>
    <col min="2" max="2" width="42.5" bestFit="1" customWidth="1"/>
    <col min="3" max="3" width="11.5" bestFit="1" customWidth="1"/>
    <col min="4" max="4" width="13" bestFit="1" customWidth="1"/>
    <col min="5" max="5" width="11.5" customWidth="1"/>
    <col min="6" max="8" width="11.375" bestFit="1" customWidth="1"/>
  </cols>
  <sheetData>
    <row r="1" spans="1:9" x14ac:dyDescent="0.2">
      <c r="A1" t="s">
        <v>1621</v>
      </c>
      <c r="E1" s="522" t="s">
        <v>708</v>
      </c>
      <c r="F1" s="522"/>
      <c r="G1" s="522"/>
      <c r="H1" s="522"/>
    </row>
    <row r="2" spans="1:9" x14ac:dyDescent="0.2">
      <c r="A2" s="363" t="s">
        <v>0</v>
      </c>
      <c r="B2" s="363" t="s">
        <v>1</v>
      </c>
      <c r="C2" s="363" t="s">
        <v>706</v>
      </c>
      <c r="D2" s="364" t="s">
        <v>707</v>
      </c>
      <c r="E2" s="363" t="s">
        <v>709</v>
      </c>
      <c r="F2" s="363" t="s">
        <v>710</v>
      </c>
      <c r="G2" s="363" t="s">
        <v>711</v>
      </c>
      <c r="H2" s="363" t="s">
        <v>712</v>
      </c>
    </row>
    <row r="3" spans="1:9" x14ac:dyDescent="0.2">
      <c r="A3" s="239">
        <v>1</v>
      </c>
      <c r="B3" s="46" t="s">
        <v>132</v>
      </c>
      <c r="C3" s="240">
        <f>ประมาณการรายได้!H4</f>
        <v>40067458.399999999</v>
      </c>
      <c r="D3" s="242" t="s">
        <v>150</v>
      </c>
      <c r="E3" s="242" t="s">
        <v>150</v>
      </c>
      <c r="F3" s="242" t="s">
        <v>150</v>
      </c>
      <c r="G3" s="242" t="s">
        <v>150</v>
      </c>
      <c r="H3" s="242" t="s">
        <v>150</v>
      </c>
    </row>
    <row r="4" spans="1:9" x14ac:dyDescent="0.2">
      <c r="A4" s="239">
        <v>2</v>
      </c>
      <c r="B4" s="46" t="s">
        <v>50</v>
      </c>
      <c r="C4" s="240">
        <f>ประมาณการรายได้!H16</f>
        <v>15350840</v>
      </c>
      <c r="D4" s="243">
        <f>C4-ประมาณการรายจ่าย!H44</f>
        <v>7022311</v>
      </c>
      <c r="E4" s="46">
        <f>$D4*25%</f>
        <v>1755577.75</v>
      </c>
      <c r="F4" s="46">
        <f t="shared" ref="F4:H9" si="0">$D4*25%</f>
        <v>1755577.75</v>
      </c>
      <c r="G4" s="46">
        <f t="shared" si="0"/>
        <v>1755577.75</v>
      </c>
      <c r="H4" s="46">
        <f t="shared" si="0"/>
        <v>1755577.75</v>
      </c>
      <c r="I4" t="s">
        <v>1273</v>
      </c>
    </row>
    <row r="5" spans="1:9" x14ac:dyDescent="0.2">
      <c r="A5" s="239">
        <v>3</v>
      </c>
      <c r="B5" s="140" t="s">
        <v>1263</v>
      </c>
      <c r="C5" s="240">
        <f>ประมาณการรายได้!H17</f>
        <v>0</v>
      </c>
      <c r="D5" s="243">
        <f>C5</f>
        <v>0</v>
      </c>
      <c r="E5" s="46">
        <f>$D5*25%</f>
        <v>0</v>
      </c>
      <c r="F5" s="46">
        <f t="shared" si="0"/>
        <v>0</v>
      </c>
      <c r="G5" s="46">
        <f t="shared" si="0"/>
        <v>0</v>
      </c>
      <c r="H5" s="46">
        <f t="shared" si="0"/>
        <v>0</v>
      </c>
      <c r="I5" t="s">
        <v>1272</v>
      </c>
    </row>
    <row r="6" spans="1:9" x14ac:dyDescent="0.2">
      <c r="A6" s="239">
        <v>4</v>
      </c>
      <c r="B6" s="11" t="s">
        <v>1258</v>
      </c>
      <c r="C6" s="240">
        <f>ประมาณการรายได้!H21</f>
        <v>1166580</v>
      </c>
      <c r="D6" s="243">
        <f>C6</f>
        <v>1166580</v>
      </c>
      <c r="E6" s="46">
        <f>$D6*25%</f>
        <v>291645</v>
      </c>
      <c r="F6" s="46">
        <f t="shared" si="0"/>
        <v>291645</v>
      </c>
      <c r="G6" s="46">
        <f t="shared" si="0"/>
        <v>291645</v>
      </c>
      <c r="H6" s="46">
        <f t="shared" si="0"/>
        <v>291645</v>
      </c>
      <c r="I6" t="s">
        <v>1273</v>
      </c>
    </row>
    <row r="7" spans="1:9" x14ac:dyDescent="0.2">
      <c r="A7" s="239">
        <v>5</v>
      </c>
      <c r="B7" s="140" t="s">
        <v>1259</v>
      </c>
      <c r="C7" s="240">
        <f>ประมาณการรายได้!H22</f>
        <v>3323512.06</v>
      </c>
      <c r="D7" s="243">
        <f>C7</f>
        <v>3323512.06</v>
      </c>
      <c r="E7" s="46">
        <f>$D7*25%</f>
        <v>830878.01500000001</v>
      </c>
      <c r="F7" s="46">
        <f t="shared" si="0"/>
        <v>830878.01500000001</v>
      </c>
      <c r="G7" s="46">
        <f t="shared" si="0"/>
        <v>830878.01500000001</v>
      </c>
      <c r="H7" s="46">
        <f t="shared" si="0"/>
        <v>830878.01500000001</v>
      </c>
      <c r="I7" t="s">
        <v>1272</v>
      </c>
    </row>
    <row r="8" spans="1:9" x14ac:dyDescent="0.2">
      <c r="A8" s="239">
        <v>6</v>
      </c>
      <c r="B8" s="140" t="s">
        <v>1260</v>
      </c>
      <c r="C8" s="240">
        <f>ประมาณการรายได้!H23</f>
        <v>0</v>
      </c>
      <c r="D8" s="242" t="s">
        <v>150</v>
      </c>
      <c r="E8" s="242" t="s">
        <v>150</v>
      </c>
      <c r="F8" s="242" t="s">
        <v>150</v>
      </c>
      <c r="G8" s="242" t="s">
        <v>150</v>
      </c>
      <c r="H8" s="242" t="s">
        <v>150</v>
      </c>
    </row>
    <row r="9" spans="1:9" x14ac:dyDescent="0.2">
      <c r="A9" s="239">
        <v>7</v>
      </c>
      <c r="B9" s="140" t="s">
        <v>1261</v>
      </c>
      <c r="C9" s="240">
        <f>ประมาณการรายได้!H24</f>
        <v>0</v>
      </c>
      <c r="D9" s="243">
        <f>C9</f>
        <v>0</v>
      </c>
      <c r="E9" s="46">
        <f>$D9*25%</f>
        <v>0</v>
      </c>
      <c r="F9" s="46">
        <f t="shared" si="0"/>
        <v>0</v>
      </c>
      <c r="G9" s="46">
        <f t="shared" si="0"/>
        <v>0</v>
      </c>
      <c r="H9" s="46">
        <f t="shared" si="0"/>
        <v>0</v>
      </c>
      <c r="I9" t="s">
        <v>1272</v>
      </c>
    </row>
    <row r="10" spans="1:9" x14ac:dyDescent="0.2">
      <c r="A10" s="239">
        <v>8</v>
      </c>
      <c r="B10" s="11" t="s">
        <v>1262</v>
      </c>
      <c r="C10" s="240">
        <f>ประมาณการรายได้!H25</f>
        <v>2850780</v>
      </c>
      <c r="D10" s="242" t="s">
        <v>150</v>
      </c>
      <c r="E10" s="242" t="s">
        <v>150</v>
      </c>
      <c r="F10" s="242" t="s">
        <v>150</v>
      </c>
      <c r="G10" s="242" t="s">
        <v>150</v>
      </c>
      <c r="H10" s="242" t="s">
        <v>150</v>
      </c>
    </row>
    <row r="11" spans="1:9" x14ac:dyDescent="0.2">
      <c r="A11" s="239">
        <v>9</v>
      </c>
      <c r="B11" s="46" t="s">
        <v>704</v>
      </c>
      <c r="C11" s="240">
        <f>ประมาณการรายได้!H30</f>
        <v>1923750</v>
      </c>
      <c r="D11" s="243">
        <f>C11</f>
        <v>1923750</v>
      </c>
      <c r="E11" s="243">
        <f>D11</f>
        <v>1923750</v>
      </c>
      <c r="F11" s="242" t="s">
        <v>150</v>
      </c>
      <c r="G11" s="242" t="s">
        <v>150</v>
      </c>
      <c r="H11" s="242" t="s">
        <v>150</v>
      </c>
      <c r="I11" t="s">
        <v>713</v>
      </c>
    </row>
    <row r="12" spans="1:9" x14ac:dyDescent="0.2">
      <c r="A12" s="239">
        <v>10</v>
      </c>
      <c r="B12" s="46" t="s">
        <v>705</v>
      </c>
      <c r="C12" s="240">
        <f>ประมาณการรายได้!H32</f>
        <v>1750164.8745890146</v>
      </c>
      <c r="D12" s="243">
        <f>C12</f>
        <v>1750164.8745890146</v>
      </c>
      <c r="E12" s="46">
        <f t="shared" ref="E12:H13" si="1">$D12*25%</f>
        <v>437541.21864725364</v>
      </c>
      <c r="F12" s="46">
        <f t="shared" si="1"/>
        <v>437541.21864725364</v>
      </c>
      <c r="G12" s="46">
        <f t="shared" si="1"/>
        <v>437541.21864725364</v>
      </c>
      <c r="H12" s="46">
        <f t="shared" si="1"/>
        <v>437541.21864725364</v>
      </c>
      <c r="I12" t="s">
        <v>1272</v>
      </c>
    </row>
    <row r="13" spans="1:9" x14ac:dyDescent="0.2">
      <c r="A13" s="239">
        <v>11</v>
      </c>
      <c r="B13" s="11" t="s">
        <v>1266</v>
      </c>
      <c r="C13" s="240">
        <f>แบบบันทึกลูกข่าย!F45</f>
        <v>0</v>
      </c>
      <c r="D13" s="243">
        <f>C13</f>
        <v>0</v>
      </c>
      <c r="E13" s="46">
        <f t="shared" si="1"/>
        <v>0</v>
      </c>
      <c r="F13" s="46">
        <f t="shared" si="1"/>
        <v>0</v>
      </c>
      <c r="G13" s="46">
        <f t="shared" si="1"/>
        <v>0</v>
      </c>
      <c r="H13" s="46">
        <f t="shared" si="1"/>
        <v>0</v>
      </c>
      <c r="I13" t="s">
        <v>1271</v>
      </c>
    </row>
    <row r="14" spans="1:9" x14ac:dyDescent="0.2">
      <c r="A14" s="239">
        <v>12</v>
      </c>
      <c r="B14" s="11" t="s">
        <v>1267</v>
      </c>
      <c r="C14" s="240">
        <f>แบบบันทึกลูกข่าย!F46</f>
        <v>0</v>
      </c>
      <c r="D14" s="242" t="s">
        <v>150</v>
      </c>
      <c r="E14" s="242" t="s">
        <v>150</v>
      </c>
      <c r="F14" s="242" t="s">
        <v>150</v>
      </c>
      <c r="G14" s="242" t="s">
        <v>150</v>
      </c>
      <c r="H14" s="242" t="s">
        <v>150</v>
      </c>
      <c r="I14" t="s">
        <v>1270</v>
      </c>
    </row>
    <row r="15" spans="1:9" x14ac:dyDescent="0.2">
      <c r="A15" s="239">
        <v>13</v>
      </c>
      <c r="B15" s="11" t="s">
        <v>1268</v>
      </c>
      <c r="C15" s="240">
        <f>แบบบันทึกลูกข่าย!F47</f>
        <v>100000</v>
      </c>
      <c r="D15" s="242" t="s">
        <v>150</v>
      </c>
      <c r="E15" s="242" t="s">
        <v>150</v>
      </c>
      <c r="F15" s="242" t="s">
        <v>150</v>
      </c>
      <c r="G15" s="242" t="s">
        <v>150</v>
      </c>
      <c r="H15" s="242" t="s">
        <v>150</v>
      </c>
      <c r="I15" t="s">
        <v>1270</v>
      </c>
    </row>
    <row r="16" spans="1:9" x14ac:dyDescent="0.2">
      <c r="A16" s="239">
        <v>14</v>
      </c>
      <c r="B16" s="46" t="s">
        <v>156</v>
      </c>
      <c r="C16" s="240">
        <f>ประมาณการรายได้!H39</f>
        <v>0</v>
      </c>
      <c r="D16" s="242" t="s">
        <v>150</v>
      </c>
      <c r="E16" s="242" t="s">
        <v>150</v>
      </c>
      <c r="F16" s="242" t="s">
        <v>150</v>
      </c>
      <c r="G16" s="242" t="s">
        <v>150</v>
      </c>
      <c r="H16" s="242" t="s">
        <v>150</v>
      </c>
      <c r="I16" t="s">
        <v>1270</v>
      </c>
    </row>
    <row r="17" spans="1:9" x14ac:dyDescent="0.2">
      <c r="A17" s="239">
        <v>15</v>
      </c>
      <c r="B17" s="46" t="s">
        <v>1269</v>
      </c>
      <c r="C17" s="240">
        <f>ประมาณการรายได้!H40</f>
        <v>0</v>
      </c>
      <c r="D17" s="242" t="s">
        <v>150</v>
      </c>
      <c r="E17" s="242" t="s">
        <v>150</v>
      </c>
      <c r="F17" s="242" t="s">
        <v>150</v>
      </c>
      <c r="G17" s="242" t="s">
        <v>150</v>
      </c>
      <c r="H17" s="242" t="s">
        <v>150</v>
      </c>
      <c r="I17" t="s">
        <v>1270</v>
      </c>
    </row>
    <row r="18" spans="1:9" x14ac:dyDescent="0.2">
      <c r="A18" s="239">
        <v>16</v>
      </c>
      <c r="B18" s="46" t="s">
        <v>67</v>
      </c>
      <c r="C18" s="240">
        <f>ประมาณการรายได้!H44</f>
        <v>666040</v>
      </c>
      <c r="D18" s="242" t="s">
        <v>150</v>
      </c>
      <c r="E18" s="242" t="s">
        <v>150</v>
      </c>
      <c r="F18" s="242" t="s">
        <v>150</v>
      </c>
      <c r="G18" s="242" t="s">
        <v>150</v>
      </c>
      <c r="H18" s="242" t="s">
        <v>150</v>
      </c>
    </row>
    <row r="19" spans="1:9" x14ac:dyDescent="0.2">
      <c r="A19" s="239">
        <v>17</v>
      </c>
      <c r="B19" s="46" t="s">
        <v>143</v>
      </c>
      <c r="C19" s="240">
        <f>ประมาณการรายได้!H54</f>
        <v>9579832</v>
      </c>
      <c r="D19" s="242" t="s">
        <v>150</v>
      </c>
      <c r="E19" s="242" t="s">
        <v>150</v>
      </c>
      <c r="F19" s="242" t="s">
        <v>150</v>
      </c>
      <c r="G19" s="242" t="s">
        <v>150</v>
      </c>
      <c r="H19" s="242" t="s">
        <v>150</v>
      </c>
    </row>
    <row r="20" spans="1:9" x14ac:dyDescent="0.2">
      <c r="A20" s="46"/>
      <c r="B20" s="241" t="s">
        <v>141</v>
      </c>
      <c r="C20" s="240">
        <f>SUM(C3:C19)</f>
        <v>76778957.334589005</v>
      </c>
      <c r="D20" s="243">
        <f>SUM(D4:D9,D11:D16)</f>
        <v>15186317.934589015</v>
      </c>
      <c r="E20" s="244">
        <f>SUM(E4:E9,E11:E16)</f>
        <v>5239391.9836472543</v>
      </c>
      <c r="F20" s="244">
        <f>SUM(F4:F9,F11:F16)</f>
        <v>3315641.9836472538</v>
      </c>
      <c r="G20" s="244">
        <f>SUM(G4:G9,G11:G16)</f>
        <v>3315641.9836472538</v>
      </c>
      <c r="H20" s="244">
        <f>SUM(H4:H9,H11:H16)</f>
        <v>3315641.9836472538</v>
      </c>
    </row>
    <row r="21" spans="1:9" x14ac:dyDescent="0.2">
      <c r="B21" s="238"/>
    </row>
    <row r="22" spans="1:9" x14ac:dyDescent="0.2">
      <c r="B22" s="340" t="s">
        <v>1275</v>
      </c>
    </row>
    <row r="23" spans="1:9" x14ac:dyDescent="0.2">
      <c r="B23" t="s">
        <v>1280</v>
      </c>
      <c r="D23" s="366">
        <f>SUM(D26:D29)</f>
        <v>23514846.934589013</v>
      </c>
    </row>
    <row r="25" spans="1:9" x14ac:dyDescent="0.2">
      <c r="B25" s="340" t="s">
        <v>1274</v>
      </c>
    </row>
    <row r="26" spans="1:9" x14ac:dyDescent="0.2">
      <c r="B26" t="s">
        <v>1276</v>
      </c>
      <c r="D26" s="367">
        <f>D11</f>
        <v>1923750</v>
      </c>
      <c r="E26" t="s">
        <v>1281</v>
      </c>
    </row>
    <row r="27" spans="1:9" x14ac:dyDescent="0.2">
      <c r="B27" t="s">
        <v>1277</v>
      </c>
      <c r="D27" s="367">
        <f>ประมาณการรายจ่าย!H44</f>
        <v>8328529</v>
      </c>
      <c r="E27" t="s">
        <v>1282</v>
      </c>
    </row>
    <row r="28" spans="1:9" x14ac:dyDescent="0.2">
      <c r="B28" s="365" t="s">
        <v>1278</v>
      </c>
      <c r="C28" s="365"/>
      <c r="D28" s="523">
        <f>D20-D11</f>
        <v>13262567.934589015</v>
      </c>
      <c r="E28" s="524" t="s">
        <v>1283</v>
      </c>
      <c r="F28" s="524"/>
    </row>
    <row r="29" spans="1:9" x14ac:dyDescent="0.2">
      <c r="B29" s="365" t="s">
        <v>1279</v>
      </c>
      <c r="C29" s="365"/>
      <c r="D29" s="523"/>
      <c r="E29" s="524"/>
      <c r="F29" s="524"/>
    </row>
  </sheetData>
  <mergeCells count="3">
    <mergeCell ref="E1:H1"/>
    <mergeCell ref="D28:D29"/>
    <mergeCell ref="E28:F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75"/>
  <sheetViews>
    <sheetView zoomScaleNormal="100" zoomScaleSheetLayoutView="90" workbookViewId="0">
      <pane xSplit="2" ySplit="1" topLeftCell="C11" activePane="bottomRight" state="frozen"/>
      <selection activeCell="E102" sqref="E102"/>
      <selection pane="topRight" activeCell="E102" sqref="E102"/>
      <selection pane="bottomLeft" activeCell="E102" sqref="E102"/>
      <selection pane="bottomRight" activeCell="E102" sqref="E102"/>
    </sheetView>
  </sheetViews>
  <sheetFormatPr defaultRowHeight="14.25" x14ac:dyDescent="0.2"/>
  <cols>
    <col min="1" max="1" width="5.125" bestFit="1" customWidth="1"/>
    <col min="2" max="2" width="36.125" customWidth="1"/>
    <col min="3" max="3" width="12.875" bestFit="1" customWidth="1"/>
    <col min="4" max="4" width="18.625" bestFit="1" customWidth="1"/>
    <col min="5" max="5" width="14.875" bestFit="1" customWidth="1"/>
    <col min="6" max="6" width="13.875" bestFit="1" customWidth="1"/>
    <col min="7" max="7" width="11.375" bestFit="1" customWidth="1"/>
    <col min="11" max="11" width="13" bestFit="1" customWidth="1"/>
  </cols>
  <sheetData>
    <row r="1" spans="1:6" x14ac:dyDescent="0.2">
      <c r="A1" s="250" t="s">
        <v>0</v>
      </c>
      <c r="B1" s="250" t="s">
        <v>1</v>
      </c>
      <c r="C1" s="250" t="s">
        <v>727</v>
      </c>
      <c r="D1" s="337"/>
      <c r="E1" s="337"/>
    </row>
    <row r="2" spans="1:6" x14ac:dyDescent="0.2">
      <c r="A2" s="46" t="s">
        <v>728</v>
      </c>
      <c r="B2" s="46" t="s">
        <v>729</v>
      </c>
      <c r="C2" s="343">
        <f>BalancSheet!C21</f>
        <v>0</v>
      </c>
      <c r="D2" s="338"/>
      <c r="E2" s="338"/>
    </row>
    <row r="3" spans="1:6" x14ac:dyDescent="0.2">
      <c r="A3" s="46" t="s">
        <v>730</v>
      </c>
      <c r="B3" s="46" t="s">
        <v>1622</v>
      </c>
      <c r="C3" s="251"/>
      <c r="D3" s="339"/>
      <c r="E3" s="339"/>
      <c r="F3" t="s">
        <v>731</v>
      </c>
    </row>
    <row r="4" spans="1:6" x14ac:dyDescent="0.2">
      <c r="A4" s="46" t="s">
        <v>732</v>
      </c>
      <c r="B4" s="46" t="s">
        <v>1623</v>
      </c>
      <c r="C4" s="251"/>
      <c r="D4" s="339"/>
      <c r="E4" s="339"/>
      <c r="F4" t="s">
        <v>731</v>
      </c>
    </row>
    <row r="5" spans="1:6" x14ac:dyDescent="0.2">
      <c r="A5" s="46" t="s">
        <v>733</v>
      </c>
      <c r="B5" s="46" t="s">
        <v>1624</v>
      </c>
      <c r="C5" s="251"/>
      <c r="D5" s="339"/>
      <c r="E5" s="339"/>
      <c r="F5" t="s">
        <v>731</v>
      </c>
    </row>
    <row r="6" spans="1:6" x14ac:dyDescent="0.2">
      <c r="A6" s="253">
        <v>2</v>
      </c>
      <c r="B6" s="253" t="s">
        <v>734</v>
      </c>
      <c r="C6" s="341" t="s">
        <v>1084</v>
      </c>
      <c r="D6" s="340" t="s">
        <v>1088</v>
      </c>
      <c r="E6" s="340" t="s">
        <v>1085</v>
      </c>
    </row>
    <row r="7" spans="1:6" x14ac:dyDescent="0.2">
      <c r="A7" s="46"/>
      <c r="B7" s="46" t="s">
        <v>735</v>
      </c>
      <c r="C7" s="46"/>
      <c r="D7" s="240">
        <f>ประมาณการรายจ่าย!J45</f>
        <v>6981089</v>
      </c>
      <c r="E7" s="240"/>
      <c r="F7" t="s">
        <v>731</v>
      </c>
    </row>
    <row r="8" spans="1:6" x14ac:dyDescent="0.2">
      <c r="A8" s="46"/>
      <c r="B8" s="46" t="s">
        <v>736</v>
      </c>
      <c r="C8" s="46"/>
      <c r="D8" s="240">
        <f>ประมาณการรายจ่าย!J46</f>
        <v>1122990</v>
      </c>
      <c r="E8" s="240"/>
      <c r="F8" t="s">
        <v>731</v>
      </c>
    </row>
    <row r="9" spans="1:6" x14ac:dyDescent="0.2">
      <c r="A9" s="46"/>
      <c r="B9" s="46" t="s">
        <v>1100</v>
      </c>
      <c r="C9" s="46"/>
      <c r="D9" s="240">
        <f>ประมาณการรายจ่าย!J47</f>
        <v>18365</v>
      </c>
      <c r="E9" s="240"/>
      <c r="F9" t="s">
        <v>731</v>
      </c>
    </row>
    <row r="10" spans="1:6" x14ac:dyDescent="0.2">
      <c r="A10" s="46"/>
      <c r="B10" s="46" t="s">
        <v>43</v>
      </c>
      <c r="C10" s="46"/>
      <c r="D10" s="240">
        <f>ประมาณการรายจ่าย!J48</f>
        <v>206085</v>
      </c>
      <c r="E10" s="240"/>
      <c r="F10" t="s">
        <v>731</v>
      </c>
    </row>
    <row r="11" spans="1:6" x14ac:dyDescent="0.2">
      <c r="A11" s="253">
        <v>3</v>
      </c>
      <c r="B11" s="253" t="s">
        <v>737</v>
      </c>
      <c r="C11" s="342" t="s">
        <v>1084</v>
      </c>
      <c r="D11" s="340" t="s">
        <v>1088</v>
      </c>
      <c r="E11" s="340" t="s">
        <v>1085</v>
      </c>
    </row>
    <row r="12" spans="1:6" x14ac:dyDescent="0.2">
      <c r="A12" s="46"/>
      <c r="B12" s="46" t="s">
        <v>476</v>
      </c>
      <c r="C12" s="46"/>
      <c r="D12" s="240">
        <f>แบบบันทึกแม่ข่าย!F131</f>
        <v>0</v>
      </c>
      <c r="E12" s="240"/>
      <c r="F12" t="s">
        <v>731</v>
      </c>
    </row>
    <row r="13" spans="1:6" x14ac:dyDescent="0.2">
      <c r="A13" s="46"/>
      <c r="B13" s="46" t="s">
        <v>477</v>
      </c>
      <c r="C13" s="46"/>
      <c r="D13" s="240">
        <f>แบบบันทึกแม่ข่าย!F132</f>
        <v>0</v>
      </c>
      <c r="E13" s="240"/>
      <c r="F13" t="s">
        <v>731</v>
      </c>
    </row>
    <row r="14" spans="1:6" x14ac:dyDescent="0.2">
      <c r="A14" s="46"/>
      <c r="B14" s="46" t="s">
        <v>478</v>
      </c>
      <c r="C14" s="46"/>
      <c r="D14" s="240">
        <f>แบบบันทึกแม่ข่าย!F133</f>
        <v>0</v>
      </c>
      <c r="E14" s="240"/>
      <c r="F14" t="s">
        <v>731</v>
      </c>
    </row>
    <row r="15" spans="1:6" x14ac:dyDescent="0.2">
      <c r="A15" s="46"/>
      <c r="B15" s="46" t="s">
        <v>479</v>
      </c>
      <c r="C15" s="46"/>
      <c r="D15" s="240">
        <f>แบบบันทึกแม่ข่าย!F134</f>
        <v>0</v>
      </c>
      <c r="E15" s="240"/>
      <c r="F15" t="s">
        <v>731</v>
      </c>
    </row>
    <row r="16" spans="1:6" x14ac:dyDescent="0.2">
      <c r="A16" s="46"/>
      <c r="B16" s="46" t="s">
        <v>480</v>
      </c>
      <c r="C16" s="46"/>
      <c r="D16" s="240">
        <f>แบบบันทึกแม่ข่าย!F135</f>
        <v>0</v>
      </c>
      <c r="E16" s="240"/>
      <c r="F16" t="s">
        <v>731</v>
      </c>
    </row>
    <row r="17" spans="1:13" x14ac:dyDescent="0.2">
      <c r="A17" s="46"/>
      <c r="B17" s="46" t="s">
        <v>481</v>
      </c>
      <c r="C17" s="46"/>
      <c r="D17" s="240">
        <f>แบบบันทึกแม่ข่าย!F136</f>
        <v>0</v>
      </c>
      <c r="E17" s="240"/>
      <c r="F17" t="s">
        <v>731</v>
      </c>
    </row>
    <row r="18" spans="1:13" x14ac:dyDescent="0.2">
      <c r="A18" s="46"/>
      <c r="B18" s="46" t="s">
        <v>482</v>
      </c>
      <c r="C18" s="46"/>
      <c r="D18" s="240">
        <f>แบบบันทึกแม่ข่าย!F137</f>
        <v>0</v>
      </c>
      <c r="E18" s="240"/>
      <c r="F18" t="s">
        <v>731</v>
      </c>
    </row>
    <row r="19" spans="1:13" x14ac:dyDescent="0.2">
      <c r="A19" s="46"/>
      <c r="B19" s="46" t="s">
        <v>484</v>
      </c>
      <c r="C19" s="46"/>
      <c r="D19" s="240">
        <f>แบบบันทึกแม่ข่าย!F138</f>
        <v>0</v>
      </c>
      <c r="E19" s="240"/>
      <c r="F19" t="s">
        <v>731</v>
      </c>
    </row>
    <row r="20" spans="1:13" x14ac:dyDescent="0.2">
      <c r="A20" s="46"/>
      <c r="B20" s="46" t="s">
        <v>486</v>
      </c>
      <c r="C20" s="46"/>
      <c r="D20" s="240">
        <f>แบบบันทึกแม่ข่าย!F139</f>
        <v>0</v>
      </c>
      <c r="E20" s="46"/>
      <c r="F20" t="s">
        <v>731</v>
      </c>
    </row>
    <row r="21" spans="1:13" x14ac:dyDescent="0.2">
      <c r="A21" s="46"/>
      <c r="B21" s="46" t="s">
        <v>487</v>
      </c>
      <c r="C21" s="46"/>
      <c r="D21" s="240">
        <f>แบบบันทึกแม่ข่าย!F140</f>
        <v>0</v>
      </c>
      <c r="E21" s="240"/>
      <c r="F21" t="s">
        <v>731</v>
      </c>
    </row>
    <row r="22" spans="1:13" x14ac:dyDescent="0.2">
      <c r="A22" s="46"/>
      <c r="B22" s="46" t="s">
        <v>488</v>
      </c>
      <c r="C22" s="46"/>
      <c r="D22" s="240">
        <f>แบบบันทึกแม่ข่าย!F141</f>
        <v>0</v>
      </c>
      <c r="E22" s="240"/>
      <c r="F22" t="s">
        <v>731</v>
      </c>
    </row>
    <row r="23" spans="1:13" x14ac:dyDescent="0.2">
      <c r="A23" s="46"/>
      <c r="B23" s="46" t="s">
        <v>1397</v>
      </c>
      <c r="C23" s="46"/>
      <c r="D23" s="240">
        <f>แบบบันทึกแม่ข่าย!F142</f>
        <v>0</v>
      </c>
      <c r="E23" s="240"/>
      <c r="F23" t="s">
        <v>731</v>
      </c>
    </row>
    <row r="24" spans="1:13" x14ac:dyDescent="0.2">
      <c r="A24" s="253">
        <v>4</v>
      </c>
      <c r="B24" s="253" t="s">
        <v>738</v>
      </c>
      <c r="C24" s="253" t="s">
        <v>1081</v>
      </c>
      <c r="D24" s="253" t="s">
        <v>1082</v>
      </c>
      <c r="E24" s="253" t="s">
        <v>1083</v>
      </c>
      <c r="F24" s="342" t="s">
        <v>1625</v>
      </c>
    </row>
    <row r="25" spans="1:13" x14ac:dyDescent="0.2">
      <c r="A25" s="46"/>
      <c r="B25" s="429" t="s">
        <v>1089</v>
      </c>
      <c r="C25" s="430">
        <f t="shared" ref="C25" si="0">SUM(C26:C34)</f>
        <v>0</v>
      </c>
      <c r="D25" s="430">
        <f>SUM(D26:D34)</f>
        <v>8328529</v>
      </c>
      <c r="E25" s="430">
        <f t="shared" ref="E25" si="1">SUM(E26:E34)</f>
        <v>0</v>
      </c>
      <c r="F25" s="431">
        <f>C25+D25-E25</f>
        <v>8328529</v>
      </c>
    </row>
    <row r="26" spans="1:13" x14ac:dyDescent="0.2">
      <c r="A26" s="46"/>
      <c r="B26" s="46" t="s">
        <v>739</v>
      </c>
      <c r="C26" s="46"/>
      <c r="D26" s="240">
        <f>D7</f>
        <v>6981089</v>
      </c>
      <c r="E26" s="240"/>
      <c r="F26" s="238">
        <f t="shared" ref="F26:F34" si="2">C26+D26-E26</f>
        <v>6981089</v>
      </c>
    </row>
    <row r="27" spans="1:13" x14ac:dyDescent="0.2">
      <c r="A27" s="46"/>
      <c r="B27" s="46" t="s">
        <v>740</v>
      </c>
      <c r="C27" s="46"/>
      <c r="D27" s="240">
        <f>D8</f>
        <v>1122990</v>
      </c>
      <c r="E27" s="240"/>
      <c r="F27" s="238">
        <f t="shared" si="2"/>
        <v>1122990</v>
      </c>
    </row>
    <row r="28" spans="1:13" x14ac:dyDescent="0.2">
      <c r="A28" s="46"/>
      <c r="B28" s="46" t="s">
        <v>741</v>
      </c>
      <c r="C28" s="46"/>
      <c r="D28" s="240">
        <f>D9</f>
        <v>18365</v>
      </c>
      <c r="E28" s="240"/>
      <c r="F28" s="238">
        <f t="shared" si="2"/>
        <v>18365</v>
      </c>
      <c r="J28" t="s">
        <v>1398</v>
      </c>
      <c r="M28" t="s">
        <v>1423</v>
      </c>
    </row>
    <row r="29" spans="1:13" x14ac:dyDescent="0.2">
      <c r="A29" s="46"/>
      <c r="B29" s="46" t="s">
        <v>1391</v>
      </c>
      <c r="C29" s="46"/>
      <c r="D29" s="240">
        <f>D10</f>
        <v>206085</v>
      </c>
      <c r="E29" s="240"/>
      <c r="F29" s="238">
        <f t="shared" si="2"/>
        <v>206085</v>
      </c>
      <c r="J29" s="396" t="s">
        <v>1399</v>
      </c>
      <c r="K29" s="396">
        <v>7200000</v>
      </c>
      <c r="M29" t="s">
        <v>1424</v>
      </c>
    </row>
    <row r="30" spans="1:13" x14ac:dyDescent="0.2">
      <c r="A30" s="46"/>
      <c r="B30" s="46" t="s">
        <v>742</v>
      </c>
      <c r="C30" s="46"/>
      <c r="D30" s="240">
        <f>ประมาณการรายจ่าย!F54</f>
        <v>0</v>
      </c>
      <c r="E30" s="240"/>
      <c r="F30" s="238">
        <f t="shared" si="2"/>
        <v>0</v>
      </c>
      <c r="J30" s="396" t="s">
        <v>1400</v>
      </c>
      <c r="K30" s="396">
        <v>2050000</v>
      </c>
      <c r="M30" t="s">
        <v>1425</v>
      </c>
    </row>
    <row r="31" spans="1:13" x14ac:dyDescent="0.2">
      <c r="A31" s="46"/>
      <c r="B31" s="46" t="s">
        <v>743</v>
      </c>
      <c r="C31" s="46"/>
      <c r="D31" s="46"/>
      <c r="E31" s="46"/>
      <c r="F31" s="238">
        <f t="shared" si="2"/>
        <v>0</v>
      </c>
      <c r="J31" s="396" t="s">
        <v>1401</v>
      </c>
      <c r="K31" s="396">
        <v>9700000</v>
      </c>
      <c r="M31" t="s">
        <v>1426</v>
      </c>
    </row>
    <row r="32" spans="1:13" x14ac:dyDescent="0.2">
      <c r="A32" s="46"/>
      <c r="B32" s="46" t="s">
        <v>744</v>
      </c>
      <c r="C32" s="46"/>
      <c r="D32" s="240">
        <f>ประมาณการรายได้!F30</f>
        <v>0</v>
      </c>
      <c r="E32" s="240"/>
      <c r="F32" s="238">
        <f t="shared" si="2"/>
        <v>0</v>
      </c>
      <c r="J32" s="396" t="s">
        <v>1402</v>
      </c>
      <c r="K32" s="396">
        <v>7450000</v>
      </c>
      <c r="M32" t="s">
        <v>1427</v>
      </c>
    </row>
    <row r="33" spans="1:13" x14ac:dyDescent="0.2">
      <c r="A33" s="46"/>
      <c r="B33" s="46" t="s">
        <v>1392</v>
      </c>
      <c r="C33" s="46"/>
      <c r="D33" s="240">
        <f>ประมาณการรายจ่าย!F39</f>
        <v>0</v>
      </c>
      <c r="E33" s="240"/>
      <c r="F33" s="238">
        <f t="shared" si="2"/>
        <v>0</v>
      </c>
      <c r="J33" s="396" t="s">
        <v>1403</v>
      </c>
      <c r="K33" s="396">
        <v>1400000</v>
      </c>
      <c r="M33" t="s">
        <v>1428</v>
      </c>
    </row>
    <row r="34" spans="1:13" x14ac:dyDescent="0.2">
      <c r="A34" s="46"/>
      <c r="B34" s="46" t="s">
        <v>745</v>
      </c>
      <c r="C34" s="46"/>
      <c r="D34" s="240">
        <f>ประมาณการรายจ่าย!F34</f>
        <v>0</v>
      </c>
      <c r="E34" s="240"/>
      <c r="F34" s="238">
        <f t="shared" si="2"/>
        <v>0</v>
      </c>
      <c r="J34" s="396" t="s">
        <v>1404</v>
      </c>
      <c r="K34" s="396">
        <v>2400000</v>
      </c>
      <c r="M34" t="s">
        <v>1429</v>
      </c>
    </row>
    <row r="35" spans="1:13" x14ac:dyDescent="0.2">
      <c r="A35" s="253">
        <v>5</v>
      </c>
      <c r="B35" s="253" t="s">
        <v>746</v>
      </c>
      <c r="C35" s="253" t="s">
        <v>1090</v>
      </c>
      <c r="D35" s="253" t="s">
        <v>1091</v>
      </c>
      <c r="E35" s="253" t="s">
        <v>1626</v>
      </c>
      <c r="F35" s="253" t="s">
        <v>1092</v>
      </c>
      <c r="J35" s="396" t="s">
        <v>1405</v>
      </c>
      <c r="K35" s="396">
        <v>5350000</v>
      </c>
      <c r="M35" t="s">
        <v>1430</v>
      </c>
    </row>
    <row r="36" spans="1:13" x14ac:dyDescent="0.2">
      <c r="A36" s="46"/>
      <c r="B36" s="46" t="s">
        <v>747</v>
      </c>
      <c r="C36" s="46"/>
      <c r="D36" s="254">
        <f>ประมาณการรายได้!J16+ประมาณการรายได้!J19+ประมาณการรายได้!J26</f>
        <v>15350840</v>
      </c>
      <c r="E36" s="254"/>
      <c r="F36" s="245">
        <f>C36+D36-E36</f>
        <v>15350840</v>
      </c>
      <c r="J36" s="396" t="s">
        <v>1406</v>
      </c>
      <c r="K36" s="396">
        <v>3500000</v>
      </c>
      <c r="M36" t="s">
        <v>1431</v>
      </c>
    </row>
    <row r="37" spans="1:13" x14ac:dyDescent="0.2">
      <c r="A37" s="46"/>
      <c r="B37" s="46" t="s">
        <v>1393</v>
      </c>
      <c r="C37" s="46"/>
      <c r="D37" s="249">
        <f>แบบบันทึกแม่ข่าย!F59</f>
        <v>0</v>
      </c>
      <c r="E37" s="254"/>
      <c r="F37" s="245">
        <f t="shared" ref="F37:F42" si="3">C37+D37-E37</f>
        <v>0</v>
      </c>
      <c r="J37" s="396" t="s">
        <v>1407</v>
      </c>
      <c r="K37" s="396">
        <v>2150000</v>
      </c>
      <c r="M37" t="s">
        <v>1432</v>
      </c>
    </row>
    <row r="38" spans="1:13" x14ac:dyDescent="0.2">
      <c r="A38" s="46"/>
      <c r="B38" s="46" t="s">
        <v>751</v>
      </c>
      <c r="C38" s="46"/>
      <c r="D38" s="249">
        <f>แบบบันทึกแม่ข่าย!F65</f>
        <v>0</v>
      </c>
      <c r="E38" s="254"/>
      <c r="F38" s="245">
        <f t="shared" si="3"/>
        <v>0</v>
      </c>
      <c r="J38" s="396" t="s">
        <v>1408</v>
      </c>
      <c r="K38" s="396">
        <v>9750000</v>
      </c>
      <c r="M38" t="s">
        <v>1433</v>
      </c>
    </row>
    <row r="39" spans="1:13" x14ac:dyDescent="0.2">
      <c r="A39" s="46"/>
      <c r="B39" s="46" t="s">
        <v>749</v>
      </c>
      <c r="C39" s="46"/>
      <c r="D39" s="249">
        <f>ประมาณการรายได้!F46</f>
        <v>0</v>
      </c>
      <c r="E39" s="240"/>
      <c r="F39" s="245">
        <f t="shared" si="3"/>
        <v>0</v>
      </c>
      <c r="J39" s="396" t="s">
        <v>1409</v>
      </c>
      <c r="K39" s="396">
        <v>2750000</v>
      </c>
      <c r="M39" t="s">
        <v>1434</v>
      </c>
    </row>
    <row r="40" spans="1:13" x14ac:dyDescent="0.2">
      <c r="A40" s="46"/>
      <c r="B40" s="46" t="s">
        <v>748</v>
      </c>
      <c r="C40" s="46"/>
      <c r="D40" s="249">
        <f>ประมาณการรายได้!F48</f>
        <v>0</v>
      </c>
      <c r="E40" s="240"/>
      <c r="F40" s="245">
        <f t="shared" si="3"/>
        <v>0</v>
      </c>
      <c r="J40" s="396" t="s">
        <v>1410</v>
      </c>
      <c r="K40" s="396">
        <v>3400000</v>
      </c>
      <c r="M40" t="s">
        <v>1435</v>
      </c>
    </row>
    <row r="41" spans="1:13" x14ac:dyDescent="0.2">
      <c r="A41" s="46"/>
      <c r="B41" s="46" t="s">
        <v>750</v>
      </c>
      <c r="C41" s="46"/>
      <c r="D41" s="249">
        <f>ประมาณการรายได้!F50</f>
        <v>0</v>
      </c>
      <c r="E41" s="240"/>
      <c r="F41" s="245">
        <f t="shared" si="3"/>
        <v>0</v>
      </c>
      <c r="J41" s="396" t="s">
        <v>1411</v>
      </c>
      <c r="K41" s="396">
        <v>3200000</v>
      </c>
      <c r="M41" t="s">
        <v>1436</v>
      </c>
    </row>
    <row r="42" spans="1:13" x14ac:dyDescent="0.2">
      <c r="A42" s="46"/>
      <c r="B42" s="46" t="s">
        <v>752</v>
      </c>
      <c r="C42" s="46"/>
      <c r="D42" s="249">
        <f>แบบบันทึกแม่ข่าย!F70+แบบบันทึกแม่ข่าย!F76</f>
        <v>0</v>
      </c>
      <c r="E42" s="254"/>
      <c r="F42" s="245">
        <f t="shared" si="3"/>
        <v>0</v>
      </c>
      <c r="J42" s="396" t="s">
        <v>1412</v>
      </c>
      <c r="K42" s="396">
        <v>6800000</v>
      </c>
      <c r="M42" t="s">
        <v>1437</v>
      </c>
    </row>
    <row r="43" spans="1:13" x14ac:dyDescent="0.2">
      <c r="A43" s="253">
        <v>6</v>
      </c>
      <c r="B43" s="253" t="s">
        <v>753</v>
      </c>
      <c r="C43" s="253"/>
      <c r="D43" s="340"/>
      <c r="E43" s="340"/>
      <c r="J43" s="396" t="s">
        <v>1394</v>
      </c>
      <c r="K43" s="396">
        <v>1750000</v>
      </c>
      <c r="M43" t="s">
        <v>1438</v>
      </c>
    </row>
    <row r="44" spans="1:13" x14ac:dyDescent="0.2">
      <c r="A44" s="46"/>
      <c r="B44" s="46" t="s">
        <v>754</v>
      </c>
      <c r="C44" s="240">
        <f>C2*20%</f>
        <v>0</v>
      </c>
      <c r="D44" s="344"/>
      <c r="E44" s="344"/>
      <c r="J44" s="396" t="s">
        <v>1413</v>
      </c>
      <c r="K44" s="396">
        <v>2300000</v>
      </c>
      <c r="M44" t="s">
        <v>1439</v>
      </c>
    </row>
    <row r="45" spans="1:13" x14ac:dyDescent="0.2">
      <c r="A45" s="46"/>
      <c r="B45" s="46" t="s">
        <v>755</v>
      </c>
      <c r="C45" s="240">
        <f>ประมาณการรายได้!F30</f>
        <v>0</v>
      </c>
      <c r="D45" s="344"/>
      <c r="E45" s="344"/>
      <c r="J45" s="396" t="s">
        <v>1414</v>
      </c>
      <c r="K45" s="396">
        <v>6650000</v>
      </c>
      <c r="M45" t="s">
        <v>1440</v>
      </c>
    </row>
    <row r="46" spans="1:13" x14ac:dyDescent="0.2">
      <c r="A46" s="46"/>
      <c r="B46" s="46" t="s">
        <v>756</v>
      </c>
      <c r="C46" s="254">
        <f>แบบบันทึกแม่ข่าย!F15</f>
        <v>0</v>
      </c>
      <c r="D46" s="345"/>
      <c r="E46" s="345"/>
      <c r="J46" s="396" t="s">
        <v>1415</v>
      </c>
      <c r="K46" s="396">
        <v>4050000</v>
      </c>
      <c r="M46" t="s">
        <v>1441</v>
      </c>
    </row>
    <row r="47" spans="1:13" x14ac:dyDescent="0.2">
      <c r="A47" s="253">
        <v>7</v>
      </c>
      <c r="B47" s="253" t="s">
        <v>757</v>
      </c>
      <c r="C47" s="253"/>
      <c r="D47" s="340"/>
      <c r="E47" s="340"/>
      <c r="J47" s="396" t="s">
        <v>1416</v>
      </c>
      <c r="K47" s="396">
        <v>2600000</v>
      </c>
      <c r="M47" t="s">
        <v>1442</v>
      </c>
    </row>
    <row r="48" spans="1:13" x14ac:dyDescent="0.2">
      <c r="A48" s="46"/>
      <c r="B48" s="46" t="s">
        <v>758</v>
      </c>
      <c r="C48" s="252"/>
      <c r="D48" s="346"/>
      <c r="E48" s="346"/>
      <c r="J48" s="396" t="s">
        <v>1417</v>
      </c>
      <c r="K48" s="396">
        <v>3050000</v>
      </c>
      <c r="M48" t="s">
        <v>1443</v>
      </c>
    </row>
    <row r="49" spans="1:13" x14ac:dyDescent="0.2">
      <c r="A49" s="46"/>
      <c r="B49" s="46" t="s">
        <v>759</v>
      </c>
      <c r="C49" s="240">
        <f>ตารางบริหารงบ!D28-C48</f>
        <v>13262567.934589015</v>
      </c>
      <c r="D49" s="344"/>
      <c r="E49" s="344"/>
      <c r="J49" s="396" t="s">
        <v>1418</v>
      </c>
      <c r="K49" s="396">
        <v>4000000</v>
      </c>
      <c r="M49" t="s">
        <v>1444</v>
      </c>
    </row>
    <row r="50" spans="1:13" x14ac:dyDescent="0.2">
      <c r="A50" s="46"/>
      <c r="B50" s="46" t="s">
        <v>40</v>
      </c>
      <c r="C50" s="240">
        <f>ประมาณการรายจ่าย!H45</f>
        <v>6981089</v>
      </c>
      <c r="D50" s="344"/>
      <c r="E50" s="344"/>
      <c r="J50" s="396" t="s">
        <v>1419</v>
      </c>
      <c r="K50" s="396">
        <v>2100000</v>
      </c>
      <c r="M50" t="s">
        <v>1445</v>
      </c>
    </row>
    <row r="51" spans="1:13" x14ac:dyDescent="0.2">
      <c r="A51" s="46"/>
      <c r="B51" s="46" t="s">
        <v>41</v>
      </c>
      <c r="C51" s="240">
        <f>ประมาณการรายจ่าย!H46</f>
        <v>1122990</v>
      </c>
      <c r="D51" s="344"/>
      <c r="E51" s="344"/>
      <c r="J51" s="396" t="s">
        <v>1420</v>
      </c>
      <c r="K51" s="396">
        <v>5500000</v>
      </c>
      <c r="M51" t="s">
        <v>1446</v>
      </c>
    </row>
    <row r="52" spans="1:13" x14ac:dyDescent="0.2">
      <c r="A52" s="46"/>
      <c r="B52" s="46" t="s">
        <v>42</v>
      </c>
      <c r="C52" s="240">
        <f>ประมาณการรายจ่าย!H47</f>
        <v>18365</v>
      </c>
      <c r="D52" s="344"/>
      <c r="E52" s="344"/>
      <c r="J52" s="396" t="s">
        <v>1421</v>
      </c>
      <c r="K52" s="396">
        <v>2000000</v>
      </c>
      <c r="M52" t="s">
        <v>1447</v>
      </c>
    </row>
    <row r="53" spans="1:13" x14ac:dyDescent="0.2">
      <c r="A53" s="46"/>
      <c r="B53" s="46" t="s">
        <v>43</v>
      </c>
      <c r="C53" s="240">
        <f>ประมาณการรายจ่าย!H48</f>
        <v>206085</v>
      </c>
      <c r="D53" s="344"/>
      <c r="E53" s="344"/>
      <c r="J53" s="396" t="s">
        <v>1422</v>
      </c>
      <c r="K53" s="396">
        <v>8650000</v>
      </c>
      <c r="M53" t="s">
        <v>1448</v>
      </c>
    </row>
    <row r="54" spans="1:13" x14ac:dyDescent="0.2">
      <c r="A54" s="46"/>
      <c r="B54" s="46" t="s">
        <v>760</v>
      </c>
      <c r="C54" s="240">
        <f>ประมาณการรายได้!H30</f>
        <v>1923750</v>
      </c>
      <c r="D54" s="344"/>
      <c r="E54" s="344"/>
    </row>
    <row r="55" spans="1:13" x14ac:dyDescent="0.2">
      <c r="C55" s="368" t="s">
        <v>1288</v>
      </c>
      <c r="D55" s="368" t="s">
        <v>1285</v>
      </c>
      <c r="E55" s="368" t="s">
        <v>1286</v>
      </c>
      <c r="F55" s="368" t="s">
        <v>1287</v>
      </c>
      <c r="G55" s="397" t="s">
        <v>1284</v>
      </c>
    </row>
    <row r="56" spans="1:13" x14ac:dyDescent="0.2">
      <c r="B56" s="369" t="s">
        <v>1289</v>
      </c>
      <c r="G56" s="398"/>
    </row>
    <row r="57" spans="1:13" x14ac:dyDescent="0.2">
      <c r="B57" s="370" t="s">
        <v>85</v>
      </c>
      <c r="C57" s="373"/>
      <c r="D57" s="373">
        <v>300</v>
      </c>
      <c r="E57" s="367">
        <f>แบบบันทึกแม่ข่าย!F18</f>
        <v>0</v>
      </c>
      <c r="F57" s="367">
        <f t="shared" ref="F57:F63" si="4">E57-(C57*D57)</f>
        <v>0</v>
      </c>
      <c r="G57" s="398">
        <f t="shared" ref="G57:G63" si="5">E57/D57</f>
        <v>0</v>
      </c>
    </row>
    <row r="58" spans="1:13" x14ac:dyDescent="0.2">
      <c r="B58" s="370" t="s">
        <v>88</v>
      </c>
      <c r="C58" s="373"/>
      <c r="D58" s="373">
        <v>500</v>
      </c>
      <c r="E58" s="367">
        <f>แบบบันทึกแม่ข่าย!F60</f>
        <v>0</v>
      </c>
      <c r="F58" s="367">
        <f t="shared" si="4"/>
        <v>0</v>
      </c>
      <c r="G58" s="398">
        <f t="shared" si="5"/>
        <v>0</v>
      </c>
    </row>
    <row r="59" spans="1:13" x14ac:dyDescent="0.2">
      <c r="B59" s="370" t="s">
        <v>1290</v>
      </c>
      <c r="C59" s="373"/>
      <c r="D59" s="373">
        <v>500</v>
      </c>
      <c r="E59" s="367">
        <f>แบบบันทึกแม่ข่าย!F66</f>
        <v>0</v>
      </c>
      <c r="F59" s="367">
        <f t="shared" si="4"/>
        <v>0</v>
      </c>
      <c r="G59" s="398">
        <f t="shared" si="5"/>
        <v>0</v>
      </c>
    </row>
    <row r="60" spans="1:13" x14ac:dyDescent="0.2">
      <c r="B60" s="370" t="s">
        <v>90</v>
      </c>
      <c r="C60" s="373"/>
      <c r="D60" s="373">
        <v>800</v>
      </c>
      <c r="E60" s="367">
        <f>แบบบันทึกแม่ข่าย!F63</f>
        <v>0</v>
      </c>
      <c r="F60" s="367">
        <f t="shared" si="4"/>
        <v>0</v>
      </c>
      <c r="G60" s="398">
        <f t="shared" si="5"/>
        <v>0</v>
      </c>
    </row>
    <row r="61" spans="1:13" x14ac:dyDescent="0.2">
      <c r="B61" s="370" t="s">
        <v>92</v>
      </c>
      <c r="C61" s="373"/>
      <c r="D61" s="373">
        <v>120</v>
      </c>
      <c r="E61" s="367">
        <f>แบบบันทึกแม่ข่าย!F69</f>
        <v>0</v>
      </c>
      <c r="F61" s="367">
        <f t="shared" si="4"/>
        <v>0</v>
      </c>
      <c r="G61" s="398">
        <f t="shared" si="5"/>
        <v>0</v>
      </c>
    </row>
    <row r="62" spans="1:13" x14ac:dyDescent="0.2">
      <c r="B62" s="370" t="s">
        <v>94</v>
      </c>
      <c r="C62" s="373"/>
      <c r="D62" s="373">
        <v>150</v>
      </c>
      <c r="E62" s="367">
        <f>แบบบันทึกแม่ข่าย!F75</f>
        <v>0</v>
      </c>
      <c r="F62" s="367">
        <f t="shared" si="4"/>
        <v>0</v>
      </c>
      <c r="G62" s="398">
        <f t="shared" si="5"/>
        <v>0</v>
      </c>
    </row>
    <row r="63" spans="1:13" x14ac:dyDescent="0.2">
      <c r="B63" s="370" t="s">
        <v>95</v>
      </c>
      <c r="C63" s="373"/>
      <c r="D63" s="373">
        <v>250</v>
      </c>
      <c r="E63" s="367">
        <f>แบบบันทึกแม่ข่าย!F72+แบบบันทึกแม่ข่าย!F78+แบบบันทึกแม่ข่าย!F81</f>
        <v>0</v>
      </c>
      <c r="F63" s="367">
        <f t="shared" si="4"/>
        <v>0</v>
      </c>
      <c r="G63" s="398">
        <f t="shared" si="5"/>
        <v>0</v>
      </c>
    </row>
    <row r="64" spans="1:13" x14ac:dyDescent="0.2">
      <c r="B64" s="371" t="s">
        <v>1291</v>
      </c>
      <c r="C64" s="373"/>
      <c r="E64" s="367">
        <f>SUM(E57:E63)</f>
        <v>0</v>
      </c>
      <c r="F64" s="367"/>
      <c r="G64" s="398"/>
    </row>
    <row r="65" spans="2:7" x14ac:dyDescent="0.2">
      <c r="B65" s="369" t="s">
        <v>1292</v>
      </c>
      <c r="C65" s="373"/>
      <c r="D65" s="372"/>
      <c r="G65" s="398"/>
    </row>
    <row r="66" spans="2:7" x14ac:dyDescent="0.2">
      <c r="B66" s="370" t="s">
        <v>85</v>
      </c>
      <c r="C66" s="373"/>
      <c r="D66" s="373">
        <v>5000</v>
      </c>
      <c r="E66" s="367">
        <f>แบบบันทึกแม่ข่าย!F21</f>
        <v>0</v>
      </c>
      <c r="F66" s="367">
        <f t="shared" ref="F66:F72" si="6">E66-(C66*D66)</f>
        <v>0</v>
      </c>
      <c r="G66" s="398">
        <f t="shared" ref="G66:G72" si="7">E66/D66</f>
        <v>0</v>
      </c>
    </row>
    <row r="67" spans="2:7" x14ac:dyDescent="0.2">
      <c r="B67" s="370" t="s">
        <v>88</v>
      </c>
      <c r="C67" s="373"/>
      <c r="D67" s="373">
        <v>3000</v>
      </c>
      <c r="E67" s="367">
        <f>แบบบันทึกแม่ข่าย!F61</f>
        <v>0</v>
      </c>
      <c r="F67" s="367">
        <f t="shared" si="6"/>
        <v>0</v>
      </c>
      <c r="G67" s="398">
        <f t="shared" si="7"/>
        <v>0</v>
      </c>
    </row>
    <row r="68" spans="2:7" x14ac:dyDescent="0.2">
      <c r="B68" s="370" t="s">
        <v>1290</v>
      </c>
      <c r="C68" s="373"/>
      <c r="D68" s="373">
        <v>3500</v>
      </c>
      <c r="E68" s="367">
        <f>แบบบันทึกแม่ข่าย!F67</f>
        <v>0</v>
      </c>
      <c r="F68" s="367">
        <f t="shared" si="6"/>
        <v>0</v>
      </c>
      <c r="G68" s="398">
        <f t="shared" si="7"/>
        <v>0</v>
      </c>
    </row>
    <row r="69" spans="2:7" x14ac:dyDescent="0.2">
      <c r="B69" s="370" t="s">
        <v>90</v>
      </c>
      <c r="C69" s="373"/>
      <c r="D69" s="373">
        <v>4000</v>
      </c>
      <c r="E69" s="367">
        <f>แบบบันทึกแม่ข่าย!F64</f>
        <v>0</v>
      </c>
      <c r="F69" s="367">
        <f t="shared" si="6"/>
        <v>0</v>
      </c>
      <c r="G69" s="398">
        <f t="shared" si="7"/>
        <v>0</v>
      </c>
    </row>
    <row r="70" spans="2:7" x14ac:dyDescent="0.2">
      <c r="B70" s="370" t="s">
        <v>92</v>
      </c>
      <c r="C70" s="373"/>
      <c r="D70" s="373">
        <v>2500</v>
      </c>
      <c r="E70" s="367">
        <f>แบบบันทึกแม่ข่าย!F70</f>
        <v>0</v>
      </c>
      <c r="F70" s="367">
        <f t="shared" si="6"/>
        <v>0</v>
      </c>
      <c r="G70" s="398">
        <f t="shared" si="7"/>
        <v>0</v>
      </c>
    </row>
    <row r="71" spans="2:7" x14ac:dyDescent="0.2">
      <c r="B71" s="370" t="s">
        <v>94</v>
      </c>
      <c r="C71" s="373"/>
      <c r="D71" s="373">
        <v>2000</v>
      </c>
      <c r="E71" s="367">
        <f>แบบบันทึกแม่ข่าย!F76</f>
        <v>0</v>
      </c>
      <c r="F71" s="367">
        <f t="shared" si="6"/>
        <v>0</v>
      </c>
      <c r="G71" s="398">
        <f t="shared" si="7"/>
        <v>0</v>
      </c>
    </row>
    <row r="72" spans="2:7" x14ac:dyDescent="0.2">
      <c r="B72" s="370" t="s">
        <v>95</v>
      </c>
      <c r="C72" s="373"/>
      <c r="D72" s="373">
        <v>2000</v>
      </c>
      <c r="E72" s="367">
        <f>แบบบันทึกแม่ข่าย!F73+แบบบันทึกแม่ข่าย!F79+แบบบันทึกแม่ข่าย!F82</f>
        <v>0</v>
      </c>
      <c r="F72" s="367">
        <f t="shared" si="6"/>
        <v>0</v>
      </c>
      <c r="G72" s="398">
        <f t="shared" si="7"/>
        <v>0</v>
      </c>
    </row>
    <row r="73" spans="2:7" x14ac:dyDescent="0.2">
      <c r="B73" s="371" t="s">
        <v>1293</v>
      </c>
      <c r="C73" s="373"/>
      <c r="E73" s="367">
        <f>SUM(E66:E72)</f>
        <v>0</v>
      </c>
      <c r="G73" s="398"/>
    </row>
    <row r="74" spans="2:7" x14ac:dyDescent="0.2">
      <c r="C74" s="367"/>
      <c r="E74" s="367"/>
      <c r="F74" s="366">
        <f>SUM(F57:F73)</f>
        <v>0</v>
      </c>
    </row>
    <row r="75" spans="2:7" x14ac:dyDescent="0.2">
      <c r="D75" t="s">
        <v>1294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แบบบันทึกแม่ข่าย</vt:lpstr>
      <vt:lpstr>แบบบันทึกลูกข่าย</vt:lpstr>
      <vt:lpstr>รายการตรวจสอบ</vt:lpstr>
      <vt:lpstr>ประมาณการรายได้</vt:lpstr>
      <vt:lpstr>ประมาณการรายจ่าย</vt:lpstr>
      <vt:lpstr>BalancSheet</vt:lpstr>
      <vt:lpstr>FormPlanfin</vt:lpstr>
      <vt:lpstr>ตารางบริหารงบ</vt:lpstr>
      <vt:lpstr>กรอกเพิ่ม</vt:lpstr>
      <vt:lpstr>วิเคราะห์แผน</vt:lpstr>
      <vt:lpstr>แผนเงินบำรุง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HP</cp:lastModifiedBy>
  <dcterms:created xsi:type="dcterms:W3CDTF">2013-09-02T10:29:46Z</dcterms:created>
  <dcterms:modified xsi:type="dcterms:W3CDTF">2023-11-15T06:48:53Z</dcterms:modified>
</cp:coreProperties>
</file>